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d.docs.live.net/394804c2e30dda04/TRABAJO/Clientes/83. Naciones Unidas/OIM Centro Corporativo/Informes/Etapa 2/"/>
    </mc:Choice>
  </mc:AlternateContent>
  <xr:revisionPtr revIDLastSave="990" documentId="11_8E76C28C9BD44A9FEA6DE5D982DAE6AA0156E126" xr6:coauthVersionLast="47" xr6:coauthVersionMax="47" xr10:uidLastSave="{102788CB-2D2D-4680-A1EA-4B5B7DCE0B2A}"/>
  <bookViews>
    <workbookView xWindow="-120" yWindow="-120" windowWidth="20730" windowHeight="11160" xr2:uid="{00000000-000D-0000-FFFF-FFFF00000000}"/>
  </bookViews>
  <sheets>
    <sheet name="II. Electrical " sheetId="1" r:id="rId1"/>
  </sheets>
  <externalReferences>
    <externalReference r:id="rId2"/>
  </externalReferences>
  <definedNames>
    <definedName name="_xlnm.Print_Area" localSheetId="0">'II. Electrical '!$A$1:$F$416</definedName>
    <definedName name="_xlnm.Print_Titles" localSheetId="0">'II. Electrical '!$2:$5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5" i="1" l="1"/>
  <c r="F196" i="1"/>
  <c r="C331" i="1"/>
  <c r="F331" i="1" s="1"/>
  <c r="C330" i="1"/>
  <c r="C329" i="1"/>
  <c r="C328" i="1"/>
  <c r="C327" i="1"/>
  <c r="E317" i="1"/>
  <c r="F317" i="1" s="1"/>
  <c r="E316" i="1"/>
  <c r="F316" i="1" s="1"/>
  <c r="C315" i="1"/>
  <c r="C314" i="1"/>
  <c r="C313" i="1"/>
  <c r="C312" i="1"/>
  <c r="C311" i="1"/>
  <c r="C303" i="1"/>
  <c r="C302" i="1"/>
  <c r="F295" i="1"/>
  <c r="F309" i="1"/>
  <c r="C257" i="1"/>
  <c r="F271" i="1"/>
  <c r="F207" i="1" l="1"/>
  <c r="F181" i="1"/>
  <c r="F17" i="1"/>
  <c r="E107" i="1"/>
  <c r="F107" i="1" s="1"/>
  <c r="E106" i="1"/>
  <c r="F106" i="1" s="1"/>
  <c r="E105" i="1"/>
  <c r="F105" i="1" s="1"/>
  <c r="E102" i="1"/>
  <c r="C102" i="1"/>
  <c r="C101" i="1"/>
  <c r="E101" i="1"/>
  <c r="E104" i="1"/>
  <c r="F104" i="1" s="1"/>
  <c r="E180" i="1"/>
  <c r="F180" i="1" s="1"/>
  <c r="C180" i="1"/>
  <c r="C179" i="1"/>
  <c r="E177" i="1"/>
  <c r="F177" i="1" s="1"/>
  <c r="E175" i="1"/>
  <c r="F175" i="1" s="1"/>
  <c r="C177" i="1"/>
  <c r="C176" i="1"/>
  <c r="C175" i="1"/>
  <c r="C174" i="1"/>
  <c r="E179" i="1"/>
  <c r="F179" i="1" s="1"/>
  <c r="E176" i="1"/>
  <c r="F176" i="1" s="1"/>
  <c r="E174" i="1"/>
  <c r="F174" i="1" s="1"/>
  <c r="C170" i="1"/>
  <c r="F168" i="1"/>
  <c r="F102" i="1" l="1"/>
  <c r="F101" i="1"/>
  <c r="E124" i="1" l="1"/>
  <c r="E90" i="1"/>
  <c r="F90" i="1" s="1"/>
  <c r="C90" i="1"/>
  <c r="C89" i="1"/>
  <c r="E87" i="1"/>
  <c r="F87" i="1" s="1"/>
  <c r="E85" i="1"/>
  <c r="F85" i="1" s="1"/>
  <c r="C87" i="1"/>
  <c r="C86" i="1"/>
  <c r="C84" i="1"/>
  <c r="C85" i="1"/>
  <c r="E48" i="1"/>
  <c r="F48" i="1" s="1"/>
  <c r="E47" i="1"/>
  <c r="F47" i="1" s="1"/>
  <c r="E89" i="1"/>
  <c r="F89" i="1" s="1"/>
  <c r="E86" i="1"/>
  <c r="F86" i="1" s="1"/>
  <c r="E84" i="1"/>
  <c r="F84" i="1" s="1"/>
  <c r="C319" i="1" l="1"/>
  <c r="C299" i="1"/>
  <c r="C289" i="1"/>
  <c r="C255" i="1"/>
  <c r="C254" i="1"/>
  <c r="C253" i="1"/>
  <c r="C252" i="1"/>
  <c r="C251" i="1"/>
  <c r="C247" i="1"/>
  <c r="C246" i="1"/>
  <c r="C245" i="1"/>
  <c r="C244" i="1"/>
  <c r="E241" i="1"/>
  <c r="E239" i="1"/>
  <c r="C228" i="1"/>
  <c r="C231" i="1" s="1"/>
  <c r="C225" i="1"/>
  <c r="C134" i="1"/>
  <c r="C136" i="1" s="1"/>
  <c r="C164" i="1"/>
  <c r="C163" i="1"/>
  <c r="C162" i="1"/>
  <c r="C161" i="1"/>
  <c r="C160" i="1"/>
  <c r="C156" i="1"/>
  <c r="C155" i="1"/>
  <c r="C154" i="1"/>
  <c r="C153" i="1"/>
  <c r="C137" i="1" l="1"/>
  <c r="C138" i="1"/>
  <c r="C229" i="1"/>
  <c r="C230" i="1"/>
  <c r="C135" i="1"/>
  <c r="C128" i="1" l="1"/>
  <c r="C119" i="1" l="1"/>
  <c r="F226" i="1"/>
  <c r="C215" i="1"/>
  <c r="F219" i="1" s="1"/>
  <c r="F132" i="1"/>
  <c r="F125" i="1"/>
  <c r="C120" i="1"/>
  <c r="E123" i="1"/>
  <c r="E122" i="1"/>
  <c r="E121" i="1"/>
  <c r="E120" i="1"/>
  <c r="F201" i="1"/>
  <c r="E263" i="1" l="1"/>
  <c r="F263" i="1" s="1"/>
  <c r="F262" i="1"/>
  <c r="E261" i="1"/>
  <c r="F260" i="1"/>
  <c r="F255" i="1"/>
  <c r="F254" i="1"/>
  <c r="F253" i="1"/>
  <c r="F252" i="1"/>
  <c r="F251" i="1"/>
  <c r="F247" i="1"/>
  <c r="F246" i="1"/>
  <c r="F245" i="1"/>
  <c r="F244" i="1"/>
  <c r="E243" i="1"/>
  <c r="E250" i="1" s="1"/>
  <c r="F242" i="1"/>
  <c r="F241" i="1"/>
  <c r="F240" i="1"/>
  <c r="F239" i="1"/>
  <c r="F234" i="1"/>
  <c r="C232" i="1"/>
  <c r="F232" i="1" s="1"/>
  <c r="F231" i="1"/>
  <c r="F230" i="1"/>
  <c r="E229" i="1"/>
  <c r="F229" i="1" s="1"/>
  <c r="F228" i="1"/>
  <c r="F225" i="1"/>
  <c r="F224" i="1"/>
  <c r="E222" i="1"/>
  <c r="F222" i="1" s="1"/>
  <c r="E218" i="1"/>
  <c r="F218" i="1" s="1"/>
  <c r="F217" i="1"/>
  <c r="F216" i="1"/>
  <c r="F215" i="1"/>
  <c r="F214" i="1"/>
  <c r="F211" i="1"/>
  <c r="F124" i="1"/>
  <c r="F100" i="1"/>
  <c r="F170" i="1"/>
  <c r="F169" i="1"/>
  <c r="F167" i="1"/>
  <c r="F164" i="1"/>
  <c r="F163" i="1"/>
  <c r="F162" i="1"/>
  <c r="F161" i="1"/>
  <c r="F160" i="1"/>
  <c r="F156" i="1"/>
  <c r="F155" i="1"/>
  <c r="F154" i="1"/>
  <c r="F153" i="1"/>
  <c r="E152" i="1"/>
  <c r="E159" i="1" s="1"/>
  <c r="F159" i="1" s="1"/>
  <c r="F151" i="1"/>
  <c r="E150" i="1"/>
  <c r="F150" i="1" s="1"/>
  <c r="F149" i="1"/>
  <c r="E148" i="1"/>
  <c r="F148" i="1" s="1"/>
  <c r="F142" i="1"/>
  <c r="F140" i="1"/>
  <c r="F138" i="1"/>
  <c r="F137" i="1"/>
  <c r="F136" i="1"/>
  <c r="E135" i="1"/>
  <c r="F135" i="1" s="1"/>
  <c r="F134" i="1"/>
  <c r="F131" i="1"/>
  <c r="F130" i="1"/>
  <c r="E128" i="1"/>
  <c r="F128" i="1" s="1"/>
  <c r="F117" i="1"/>
  <c r="F112" i="1"/>
  <c r="F110" i="1"/>
  <c r="F350" i="1"/>
  <c r="F20" i="1"/>
  <c r="F378" i="1"/>
  <c r="F377" i="1"/>
  <c r="F376" i="1"/>
  <c r="F375" i="1"/>
  <c r="F286" i="1"/>
  <c r="C398" i="1"/>
  <c r="F398" i="1" s="1"/>
  <c r="C396" i="1"/>
  <c r="E396" i="1" s="1"/>
  <c r="E394" i="1"/>
  <c r="F397" i="1"/>
  <c r="F393" i="1"/>
  <c r="E389" i="1"/>
  <c r="F389" i="1" s="1"/>
  <c r="F388" i="1"/>
  <c r="F386" i="1"/>
  <c r="F385" i="1"/>
  <c r="F384" i="1"/>
  <c r="F383" i="1"/>
  <c r="F382" i="1"/>
  <c r="C82" i="1"/>
  <c r="F82" i="1" s="1"/>
  <c r="F345" i="1"/>
  <c r="E345" i="1" s="1"/>
  <c r="E343" i="1"/>
  <c r="F339" i="1"/>
  <c r="F338" i="1"/>
  <c r="F337" i="1"/>
  <c r="F336" i="1"/>
  <c r="F335" i="1"/>
  <c r="E334" i="1"/>
  <c r="E327" i="1"/>
  <c r="F321" i="1"/>
  <c r="F315" i="1"/>
  <c r="F314" i="1"/>
  <c r="F313" i="1"/>
  <c r="E312" i="1"/>
  <c r="F312" i="1" s="1"/>
  <c r="E308" i="1"/>
  <c r="F308" i="1" s="1"/>
  <c r="E307" i="1"/>
  <c r="F307" i="1" s="1"/>
  <c r="E306" i="1"/>
  <c r="F306" i="1" s="1"/>
  <c r="E299" i="1"/>
  <c r="E285" i="1"/>
  <c r="E70" i="1"/>
  <c r="F70" i="1" s="1"/>
  <c r="F74" i="1"/>
  <c r="F73" i="1"/>
  <c r="F72" i="1"/>
  <c r="F71" i="1"/>
  <c r="F66" i="1"/>
  <c r="F63" i="1"/>
  <c r="E62" i="1"/>
  <c r="E69" i="1" s="1"/>
  <c r="F52" i="1"/>
  <c r="F77" i="1"/>
  <c r="E80" i="1"/>
  <c r="E78" i="1"/>
  <c r="F44" i="1"/>
  <c r="F45" i="1"/>
  <c r="E36" i="1"/>
  <c r="E31" i="1"/>
  <c r="E30" i="1"/>
  <c r="E29" i="1"/>
  <c r="E28" i="1"/>
  <c r="F250" i="1" l="1"/>
  <c r="E257" i="1"/>
  <c r="F257" i="1" s="1"/>
  <c r="F243" i="1"/>
  <c r="F152" i="1"/>
  <c r="F120" i="1"/>
  <c r="C172" i="1"/>
  <c r="F213" i="1" l="1"/>
  <c r="F265" i="1"/>
  <c r="F119" i="1"/>
  <c r="F172" i="1"/>
  <c r="F277" i="1" l="1"/>
  <c r="F289" i="1"/>
  <c r="F292" i="1"/>
  <c r="C288" i="1"/>
  <c r="F287" i="1"/>
  <c r="F303" i="1"/>
  <c r="F302" i="1"/>
  <c r="F299" i="1"/>
  <c r="F334" i="1"/>
  <c r="F330" i="1"/>
  <c r="E329" i="1"/>
  <c r="F329" i="1" s="1"/>
  <c r="F327" i="1"/>
  <c r="F326" i="1"/>
  <c r="E325" i="1"/>
  <c r="F325" i="1" s="1"/>
  <c r="F324" i="1"/>
  <c r="E323" i="1"/>
  <c r="F323" i="1" s="1"/>
  <c r="F319" i="1"/>
  <c r="F311" i="1"/>
  <c r="F374" i="1"/>
  <c r="F381" i="1"/>
  <c r="F369" i="1"/>
  <c r="F372" i="1"/>
  <c r="F371" i="1"/>
  <c r="F304" i="1"/>
  <c r="F285" i="1"/>
  <c r="F283" i="1"/>
  <c r="F282" i="1"/>
  <c r="F301" i="1"/>
  <c r="F80" i="1"/>
  <c r="F75" i="1"/>
  <c r="F69" i="1"/>
  <c r="F68" i="1"/>
  <c r="F65" i="1"/>
  <c r="F64" i="1"/>
  <c r="F62" i="1"/>
  <c r="E59" i="1"/>
  <c r="F59" i="1" s="1"/>
  <c r="F58" i="1"/>
  <c r="E57" i="1"/>
  <c r="F57" i="1" s="1"/>
  <c r="E43" i="1"/>
  <c r="F43" i="1" s="1"/>
  <c r="C46" i="1"/>
  <c r="F46" i="1" s="1"/>
  <c r="E50" i="1"/>
  <c r="F50" i="1" s="1"/>
  <c r="F42" i="1"/>
  <c r="F40" i="1"/>
  <c r="F39" i="1"/>
  <c r="F38" i="1"/>
  <c r="F36" i="1"/>
  <c r="F30" i="1"/>
  <c r="F123" i="1"/>
  <c r="F121" i="1"/>
  <c r="C28" i="1"/>
  <c r="E26" i="1"/>
  <c r="F15" i="1"/>
  <c r="E14" i="1"/>
  <c r="F14" i="1" s="1"/>
  <c r="C347" i="1" l="1"/>
  <c r="F347" i="1" s="1"/>
  <c r="F296" i="1"/>
  <c r="F294" i="1"/>
  <c r="F122" i="1"/>
  <c r="F186" i="1" s="1"/>
  <c r="C27" i="1"/>
  <c r="F27" i="1" s="1"/>
  <c r="C26" i="1"/>
  <c r="F26" i="1" s="1"/>
  <c r="F291" i="1"/>
  <c r="F288" i="1"/>
  <c r="F400" i="1"/>
  <c r="F29" i="1"/>
  <c r="F31" i="1"/>
  <c r="F28" i="1"/>
  <c r="F293" i="1" l="1"/>
  <c r="F362" i="1" s="1"/>
  <c r="F93" i="1"/>
  <c r="F402" i="1" l="1"/>
  <c r="F403" i="1" s="1"/>
  <c r="F404" i="1" l="1"/>
  <c r="F405" i="1" s="1"/>
</calcChain>
</file>

<file path=xl/sharedStrings.xml><?xml version="1.0" encoding="utf-8"?>
<sst xmlns="http://schemas.openxmlformats.org/spreadsheetml/2006/main" count="637" uniqueCount="186">
  <si>
    <t xml:space="preserve">Anexo B </t>
  </si>
  <si>
    <t>Formulario de oferta financiera / BoQ</t>
  </si>
  <si>
    <t>ITB.2023.003</t>
  </si>
  <si>
    <t>ESTABLECIMIENTO DE UN ACUERDO PARA REALIZACIÓN ADECUACIONES 
DEL INMUEBLE CCI PARA PROYECTO USRAP</t>
  </si>
  <si>
    <t>Notas: Se recuerda al contratista (cuando sea necesario) que visite el sitio antes de presentar la oferta para determinar el alcance de las condiciones del sitio. Todos los trabajos cuantificados en la licitación son provisionales y el pago se realizará en base al trabajo real ejecutado en el sitio y acordado por todas las partes. Se recomienda al contratista que busque constantemente las instrucciones del ingeniero de la IOM en cada fase del trabajo y, si es necesario, antes de presentar la oferta. Se considerará que toda tarifa Unidadaria incluye todos los elementos del suministro y el trabajo de construcción, es decir, la supervisión y otros gastos generales, por ejemplo, seguridad, ganancias y gastos generales, costo de materiales, desperdicios, transporte, etc.</t>
  </si>
  <si>
    <t>LOTE 1</t>
  </si>
  <si>
    <t>Electrical works /Sitio1: Adecuación del Piso 1</t>
  </si>
  <si>
    <t>No</t>
  </si>
  <si>
    <t>Descripción</t>
  </si>
  <si>
    <t>Cantidad</t>
  </si>
  <si>
    <t>Unidad</t>
  </si>
  <si>
    <t>Vlr Unit</t>
  </si>
  <si>
    <t>Vlr Total</t>
  </si>
  <si>
    <t>Eliminar Centro de Carga ubicado en cielo raso Sector Norte</t>
  </si>
  <si>
    <t xml:space="preserve">Remover tablero en cielo raso que no está operando.
</t>
  </si>
  <si>
    <t>hr</t>
  </si>
  <si>
    <t xml:space="preserve">Eliminar canalización y cableado de la acometida alimentación del tablero
</t>
  </si>
  <si>
    <t>Todo equipo eléctrico debe de estar instalado de manera tal que tenga libre acceso y espacio de trabajo en todo momento, según lo indicado en la sección 110.26 del NEC 2014. Adicionalmente, los paneles eléctricos se deben instalar según lo indicado en los art. 312 y 408 del NEC 2014. Los disyuntores (de un panel eléctrico) deben de colocarse en posición vertical, según la sección 240.33 del NEC 2014.</t>
  </si>
  <si>
    <t>Aire Acondicionado</t>
  </si>
  <si>
    <t>Unidad UE-03 Fan Coil de 60.000 BTU/h con problemas de enfriamiento, requiere reparación o reemplazo. Todas las unidades deben incluirse en plan de mantenimiento</t>
  </si>
  <si>
    <t>2.1</t>
  </si>
  <si>
    <t>Re diseño de Ductos (Estimado requiere cotización)</t>
  </si>
  <si>
    <t>Desmantelamiento de ductería existente y rejillas, por re diseño.</t>
  </si>
  <si>
    <t>Reubicación de termostatos, por re diseño</t>
  </si>
  <si>
    <t>Ducteria nueva, ver longitud y especificaciones en planos de diseño.</t>
  </si>
  <si>
    <t>Suministro de rejillas de A/C, ver especificaciones en planos de re diseno.</t>
  </si>
  <si>
    <t>Circuitos de iluminación (Existente)</t>
  </si>
  <si>
    <t>La instalación actual por nuevas ubicaciones requiere modificación de circuitos, circuitos existentes con cajas de conexión que no son certificadas, requiere cambio de tapas y aterrizamiento. Considerar reemplazo del 90% del circuito tanto por cajas como por colas desde las cajas de conexión. Las nuevas ubicaciones requieren reemplazo de paneles de cielo suspendido. Ver notas eléctricas planos de re diseño. La instalación de circuitos ramales se debe realizar según lo indicado en los art. 210, 300 y 310 del NEC 2014. La instalación de cajas de registro, cuerpos de conducto, cajas de conexiones y cajas de piso se debe realizar según lo indicado en el art. 314 del NEC. Las cajas metálicas que contengan circuitos que operan a 50V o más deben estar conectadas a un conductor de puesta a tierra del tipo permitido en la sección 250.118. Sección 314.4 del NEC 2014.</t>
  </si>
  <si>
    <t>und</t>
  </si>
  <si>
    <t>Remover luminarias existentes, contempla luminarias de emergencia por re diseño.</t>
  </si>
  <si>
    <t>Suministro e instalación de Luminarias nuevas tipo panel de 2x2 LED Todas las luminarias, portalámparas y kits de actualización deben ser listados. Sección 410.6, NEC 2014.C31</t>
  </si>
  <si>
    <t>Suministro e instalación de Luminarias nuevas tipo panel de 2x2 LED  emergencia. Todas las luminarias, portalámparas y kits de actualización deben ser listados. Sección 410.6, NEC 2014.</t>
  </si>
  <si>
    <t>Suministro e instalación de Luminarias nuevas LED tipo Downlight emergencia. Todas las luminarias, portalámparas y kits de actualización deben ser listados. Sección 410.6, NEC 2014.</t>
  </si>
  <si>
    <t>Suministro e instalación de Luminarias nuevas LED tipo Downlight. Todas las luminarias, portalámparas y kits de actualización deben ser listados. Sección 410.6, NEC 2014.</t>
  </si>
  <si>
    <t>Desmantelamiento de circuitos que queden fuera de uso, contempla desmantelar canalización y cableado. Requiere colocar tapa ciega. Civil: reparar hueco en paredes o reposición de cielo suspendido según corresponda.</t>
  </si>
  <si>
    <t>N/A</t>
  </si>
  <si>
    <r>
      <t xml:space="preserve">Circuitos de Iluminación (Nuevos) </t>
    </r>
    <r>
      <rPr>
        <sz val="12"/>
        <rFont val="Aptos Narrow"/>
        <family val="2"/>
        <scheme val="minor"/>
      </rPr>
      <t xml:space="preserve">La instalación de circuitos ramales se debe realizar según lo indicado en los art. 210, 300 y 310 del NEC 2014. La instalación de cajas de registro, cuerpos de conducto, cajas de conexiones y cajas de piso se debe realizar según lo indicado en el art. 314 del NEC. </t>
    </r>
  </si>
  <si>
    <t>Circuitos de tomacorrientes (existentes)</t>
  </si>
  <si>
    <t>Circuitos existentes con cajas de conexión no son certificadas, requiere cambio de tapas y aterrizamiento. Considerar reemplazo del 90% del circuito por cajas de conexión y ubicaciones nuevas. La instalación de circuitos ramales se debe realizar según lo indicado en los art. 210, 300 y 310 del NEC 2014. La instalación de cajas de registro, cuerpos de conducto, cajas de conexiones y cajas de piso se debe realizar según lo indicado en el art. 314 del NEC. Las cajas metálicas que contengan circuitos que operan a 50V o más deben estar conectadas a un conductor de puesta a tierra del tipo permitido en la sección 250.118. Sección 314.4 del NEC 2014.</t>
  </si>
  <si>
    <t>Circuitos de tomacorrientes (Nuevos)</t>
  </si>
  <si>
    <t>Circuitos de Tomacorrientes Nuevos, incluye canalización y cableado de circuitos de tomacorrientes. Ver notas eléctricas planos de re diseño.</t>
  </si>
  <si>
    <t>Suministro Tomacorriente doble polarizado 15A 125V. La instalación de tomacorrientes se debe realizar según lo indicado en el art. 406 del NEC 2014. Los tomacorrientes deben ser del tipo “TAMPER RESISTANT” excepto cuando estén instalados a más de 1,7m sobre el nivel de piso terminado o cuando están instalados detrás de un electrodoméstico que no es fácilmente movible. Sección 406.12 (A), NEC 2014.</t>
  </si>
  <si>
    <t>Suministro Tomacorriente doble polarizado 15A 125V, GFCI. La protección GFCI para circuitos ramales se debe realizar según lo indicado en la sección 210.8 del NEC 2014. Los receptáculos instalados en lugares mojados deben ser del tipo a prueba de intemperie y tener una placa identificada como “EXTRA DUTY” y ser a prueba de intemperie cuando el enchufe está colocado. Sección 406.9 (B), NEC 2014.</t>
  </si>
  <si>
    <t>Puntos de Red (nuevos)</t>
  </si>
  <si>
    <t>Canalización en tubería PVC Kraloy 25mm y cableado UTP Cat6A. Ruta por canasta hasta el rack se reutilizará canasta existente, ver notas y planos de re diseño. La instalación de todo el cableado de telecomunicaciones debe realizarse según lo indicado en el art. 800 del NEC 2014.</t>
  </si>
  <si>
    <t>Instalación y conectorización de Placa Sencilla UTP Cat6A, UL</t>
  </si>
  <si>
    <t>Conectorización en rack</t>
  </si>
  <si>
    <t>Pruebas de Puntos de Red</t>
  </si>
  <si>
    <t>Certificación de Punto de Red</t>
  </si>
  <si>
    <t>Puntos de Red (existentes)</t>
  </si>
  <si>
    <t>Desmantelamiento de puntos de red existente; contempla desmantelar canalización y cableado. Requiere colocar tapa ciega. Civil: reparar hueco en paredes o reposición de cielo suspendido según corresponda. Todo cableado de telecom que no esté en uso y debidamente etiqquetado para uso futuro debe ser removido, según lo indicado en la sección 800.25 del NEC 2014.</t>
  </si>
  <si>
    <t xml:space="preserve">Data Cabinets </t>
  </si>
  <si>
    <t>Suministro e instalación de equipos pasivos, ver notas en planos de re diseño</t>
  </si>
  <si>
    <t>Back bone</t>
  </si>
  <si>
    <t>Canalización y mano de obra (Contemplar tubería EMT de 25mm por ducto electromecánico) La instalación de todo el cableado de telecomunicaciones debe realizarse según lo indicado en el art. 800 del NEC 2014.</t>
  </si>
  <si>
    <t>Fibra óptica multimodo 6 hilos. La instalación de todo el cableado de telecomunicaciones debe realizarse según lo indicado en el art. 800 del NEC 2014.</t>
  </si>
  <si>
    <t>m</t>
  </si>
  <si>
    <t>Soportería a paredes de concreto, según espacio disponible en ducto y que cumpla con lo indicado en Capítulo 3 del NEC 2014</t>
  </si>
  <si>
    <t>Conectorización (integrado con el sistema de voz y datos)</t>
  </si>
  <si>
    <t>CCTV System</t>
  </si>
  <si>
    <t>Conectorización RJ45</t>
  </si>
  <si>
    <t>NOTA</t>
  </si>
  <si>
    <t>Equipos suministrados por el cliente, se asume que son POE</t>
  </si>
  <si>
    <t>Control de Acceso</t>
  </si>
  <si>
    <t>Canalización y cableado de potencia para cada punto de Red</t>
  </si>
  <si>
    <t>Detección Incendio</t>
  </si>
  <si>
    <t>La instalación de todo el sistema de detecció de alarma e incendio deberá cumplir con lo estipulado en el Reglamento Nacional de Protección Contra Incendios del BCBCR y la norma NFPA 72.</t>
  </si>
  <si>
    <t>Canalización en EMT 19mm y cableado según indicación Planos de Diseño Mecánicos</t>
  </si>
  <si>
    <t>ml</t>
  </si>
  <si>
    <t>Suministro e instalación de equipos del sistema de Detección de Incendio (detectores, anunciador remoto, estación manual, entre otros)</t>
  </si>
  <si>
    <t>Suministro e instalación de panel de control de Detección de Incendio</t>
  </si>
  <si>
    <t>Suministro, instalación y programación del sistema Detección Incendio Nuevo</t>
  </si>
  <si>
    <t>Manejo de Desechos</t>
  </si>
  <si>
    <t>Cada sistema que requiera reemplazo o remoción de material, separar por recicable y no recicable, incluir manejo de desecho de la basura.</t>
  </si>
  <si>
    <t>Aguas Negras</t>
  </si>
  <si>
    <t>Conexión  a tuberías de aguas negras existentes</t>
  </si>
  <si>
    <t>Conexión  a tuberías de ventilación sanitatia existentes</t>
  </si>
  <si>
    <t>Agua Potable</t>
  </si>
  <si>
    <t>Conexión a tubería de agua potable existente</t>
  </si>
  <si>
    <t>Costo total de material y costo de mano de obra - LOTE 1</t>
  </si>
  <si>
    <t>LOTE 2</t>
  </si>
  <si>
    <t>Electrical /Sitio2: Adecuación del Piso 3</t>
  </si>
  <si>
    <t>Reubicar tableros a nuevas ubicaciones</t>
  </si>
  <si>
    <t>Todo equipo eléctrico debe de estar instalado de manera tal que tenga libre acceso y espacio de trabajo en todo momento, según lo indicado en la sección 110.26 del NEC 2014. Adicionalmente, los paneles eléctricos se deben instalar según lo indicado en los art. 312 y 408 del NEC 2014.</t>
  </si>
  <si>
    <t>Requiere reubicar acometida eléctrica con power block, reubicar circuitos ramales en general hasta la nueva ubicación. La instalación de alimentadores deberá cumplir con lo indicado en el art. 215 del NEC 2014. La instalación de circuitos ramales se debe realizar según lo indicado en los art. 210, 300 y 310 del NEC 2014.</t>
  </si>
  <si>
    <t>Suministro e instalación de tableros nuevos</t>
  </si>
  <si>
    <t>Desinstalación de tableros que no cumplen</t>
  </si>
  <si>
    <t>Aire Acondicionado (existente)</t>
  </si>
  <si>
    <t>Unidad UE-04 Fan Coil de 24.000BTU/h no enciende, unidad UE-03 de 60.000 BTU/h y unidad UE-07 Fan Coil de 36.000BTU/h con problemas de enfriamiento, requieren reparación o reemplazo. Todas las unidades deben incluirse en plan de mantenimiento</t>
  </si>
  <si>
    <t>Desinstalación de luminarias existentes.</t>
  </si>
  <si>
    <t>Suministro e instalación de Luminarias nuevas tipo panel de 2x2 LED. Todas las luminarias, portalámparas y kits de actualización deben ser listados. Sección 410.6, NEC 2014.</t>
  </si>
  <si>
    <t>Suministro e instalación de Luminarias nuevas tipo panel de 2x2 LED emergencia . Todas las luminarias, portalámparas y kits de actualización deben ser listados. Sección 410.6, NEC 2014.</t>
  </si>
  <si>
    <r>
      <rPr>
        <b/>
        <sz val="12"/>
        <color rgb="FF000000"/>
        <rFont val="Aptos Narrow"/>
        <family val="2"/>
        <scheme val="minor"/>
      </rPr>
      <t xml:space="preserve">Circuitos de Iluminación (Nuevos) </t>
    </r>
    <r>
      <rPr>
        <sz val="12"/>
        <color rgb="FF000000"/>
        <rFont val="Aptos Narrow"/>
        <family val="2"/>
        <scheme val="minor"/>
      </rPr>
      <t>La instalación de circuitos ramales se debe realizar según lo indicado en los art. 210, 300 y 310 del NEC 2014. La instalación de cajas de registro, cuerpos de conducto, cajas de conexiones y cajas de piso se debe realizar según lo indicado en el art. 314 del NEC.  Incluye cableado y canalización.</t>
    </r>
  </si>
  <si>
    <t xml:space="preserve">Circuitos existentes con cajas de conexión no son certificadas, requiere cambio de tapas y aterrizamiento. Considerar reemplazo del 90% del circuito por cajas de conexión y ubicaciones nuevas. La instalación de cajas de registro, cuerpos de conducto, cajas de conexiones y cajas de piso se debe realizar según lo indicado en el art. 314 del NEC. </t>
  </si>
  <si>
    <t>uds</t>
  </si>
  <si>
    <t xml:space="preserve">Circuitos de Tomacorrientes Nuevos, incluye canalización y cableado de circuitos de tomacorrientes. Ver notas eléctricas planos de re diseño. La instalación de circuitos ramales se debe realizar según lo indicado en los art. 210, 300 y 310 del NEC 2014. </t>
  </si>
  <si>
    <t>Tomacorriente doble polarizado 15A 125V. La instalación de tomacorrientes se debe realizar según lo indicado en el art. 406 del NEC 2014. Los tomacorrientes deben ser del tipo “TAMPER RESISTANT” excepto cuando estén instalados a más de 1,7m sobre el nivel de piso terminado o cuando están instalados detrás de un electrodoméstico que no es fácilmente movible. Sección 406.12 (A), NEC 2014.</t>
  </si>
  <si>
    <t>Costo total de material y costo de mano de obra - LOTE 2</t>
  </si>
  <si>
    <t>LOTE 3</t>
  </si>
  <si>
    <t>Electrical /Sitio2: Adecuación del Piso 5</t>
  </si>
  <si>
    <t>Drenaje del sistema de la unidad nueva a bajante pluvial</t>
  </si>
  <si>
    <t>Suministro e instalación de Luminarias nuevas tipo panel de 2x2 LED emergencia. Todas las luminarias, portalámparas y kits de actualización deben ser listados. Sección 410.6, NEC 2014.</t>
  </si>
  <si>
    <t>Puntos de Red</t>
  </si>
  <si>
    <t>Costo total de material y costo de mano de obra - LOTE 3</t>
  </si>
  <si>
    <t>LOTE 4</t>
  </si>
  <si>
    <t>Electrical /Sitio6: Adecuación del Piso 6</t>
  </si>
  <si>
    <t>Reubicar UPS para dejar libre espacios frente a los tableros</t>
  </si>
  <si>
    <t>Reubicación de unidad UPS en cuarto electrico para dejar libre acceso de los tableros, contemplar alimentación nueva (canalización y cableado). Todo equipo eléctrico debe de estar instalado de manera tal que tenga libre acceso y espacio de trabajo en todo momento, según lo indicado en la sección 110.26 del NEC 2014.</t>
  </si>
  <si>
    <t>Reubicar Tablero T2N6, se ubica en ruta de salida emergencia nueva</t>
  </si>
  <si>
    <t>Requiere reubicar acometida eléctrica con power block, reubicar circuitos ramales en general hasta la nueva ubicación. Todo equipo eléctrico debe de estar instalado de manera tal que tenga libre acceso y espacio de trabajo en todo momento, según lo indicado en la sección 110.26 del NEC 2014.</t>
  </si>
  <si>
    <t xml:space="preserve">Remover luminarias existentes
</t>
  </si>
  <si>
    <r>
      <t xml:space="preserve">Circuitos de Iluminación (Nuevos) </t>
    </r>
    <r>
      <rPr>
        <sz val="12"/>
        <rFont val="Aptos Narrow"/>
        <family val="2"/>
        <scheme val="minor"/>
      </rPr>
      <t>Todas las luminarias, portalámparas y kits de actualización deben ser listados. Sección 410.6, NEC 2014.</t>
    </r>
  </si>
  <si>
    <t>Suministro e instalación de Luminaria 2x4 UL</t>
  </si>
  <si>
    <t>Suministro e instalación de Luminaria 2x4 UL Emergencia</t>
  </si>
  <si>
    <t>Suministro e instalación de Luminarias nuevas LED tipo Downlight emergencia</t>
  </si>
  <si>
    <t>Suministro e instalación de Luminarias nuevas LED tipo Downlight</t>
  </si>
  <si>
    <t>Circuitos de Iluminación Nuevo, incluye canalización y cableado de circuitos de tomacorrientes. Ver notas eléctricas planos de re diseño.</t>
  </si>
  <si>
    <t xml:space="preserve">Circuitos de Tomacorrientes Nuevos, incluye canalización y cableado de circuitos de tomacorrientes. Ver notas eléctricas planos de re diseño.  La instalación de circuitos ramales se debe realizar según lo indicado en los art. 210, 300 y 310 del NEC 2014. </t>
  </si>
  <si>
    <t>Tomacorriente doble polarizado 15A 125V, GFCI. La protección GFCI para circuitos ramales se debe realizar según lo indicado en la sección 210.8 del NEC 2014.</t>
  </si>
  <si>
    <t>Reemplazo Centros de Carga, No son Uso Comercial</t>
  </si>
  <si>
    <t>Tablero 4N6</t>
  </si>
  <si>
    <t>Tablero 5N6</t>
  </si>
  <si>
    <t>Tablero E7</t>
  </si>
  <si>
    <t>Suministro, instalación y programación del sistema Detección Incendio Nuevo, Contempla canalización y cableado según diseño en planos. La instalación de todo el sistema de detecció de alarma e incendio deberá cumplir con lo estipulado en el Reglamento Nacional de Protección Contra Incendios del BCBCR y la norma NFPA 72.</t>
  </si>
  <si>
    <t>Aires Acondicionados</t>
  </si>
  <si>
    <t>Unidad UE-08 y UE-03 Fan Coil de 60.000 BTU/h con problemas de enfriamiento, requiere reparación o reemplazo. Todas las unidades deben incluirse en plan de mantenimiento</t>
  </si>
  <si>
    <t>16.1</t>
  </si>
  <si>
    <t>Costo total de material y costo de mano de obra - LOTE 4</t>
  </si>
  <si>
    <t>LOTE 5</t>
  </si>
  <si>
    <t>Electrical /Sitio6: Adecuación del Sótano 3</t>
  </si>
  <si>
    <t>Demolición de sistema actual en general, existe combinación de cableado y canalización no normada. Instalación en mal estado. Todas las luminarias, portalámparas y kits de actualización deben ser listados. Sección 410.6, NEC 2014.</t>
  </si>
  <si>
    <t>Circuitos de Tomacorrientes Nuevos, incluye canalización y cableado de circuitos de tomacorrientes. Ver notas eléctricas planos de re diseño. La instalación de circuitos ramales se debe realizar según lo indicado en los art. 210, 300 y 310 del NEC 2014.</t>
  </si>
  <si>
    <t>Tomacorriente doble polarizado 15A 125V, GFCI. La protección GFCI para circuitos ramales se debe realizar según lo indicado en la sección 210.8 del NEC 2014. Los receptáculos instalados en lugares mojados deben ser del tipo a prueba de intemperie y tener una placa identificada como “EXTRA DUTY” y ser a prueba de intemperie cuando el enchufe está colocado. Sección 406.9 (B), NEC 2014.</t>
  </si>
  <si>
    <r>
      <t xml:space="preserve">Cambio de Centro de Carga. </t>
    </r>
    <r>
      <rPr>
        <sz val="12"/>
        <rFont val="Aptos Narrow"/>
        <family val="2"/>
        <scheme val="minor"/>
      </rPr>
      <t>Todo material y equipo eléctrico debe de ser instalado según las instrucciones del fabricante, esto incluye uso permitidos y no permitidos contenidos en la certificación del producto, según la sección 110.3 (B) del NEC 2014. Los paneles eléctricos se deben instalar según lo indicado en los art. 312 y 408 del NEC 2014.</t>
    </r>
  </si>
  <si>
    <t>Remover Centro de carga en mal estado, no es uso comercial.</t>
  </si>
  <si>
    <t>Suministro e instalación de Centro de Carga Comercial Trifásico</t>
  </si>
  <si>
    <t>Detección de Incendio</t>
  </si>
  <si>
    <t>La instalación de todo el sistema de detección de alarma e incendio deberá ncumplir con lo estipulado en el Reglamento Nacional de Protección Contra Incendios del BCBCR y la norma NFPA 72.</t>
  </si>
  <si>
    <t>Costo total de material y costo de mano de obra - LOTE 5</t>
  </si>
  <si>
    <t>GRAND TOTAL LOTE1 + LOTE 2+ LOTE 3 + LOTE 4 + LOTE 5</t>
  </si>
  <si>
    <t>Imprevistos (5%)</t>
  </si>
  <si>
    <t>Administración, supervisión, ingeniería, utilidad (15%)</t>
  </si>
  <si>
    <t>GRAN TOTAL</t>
  </si>
  <si>
    <t>Vigencia de la Oferta</t>
  </si>
  <si>
    <t>RFQ Autorizada por:</t>
  </si>
  <si>
    <t>Nombre</t>
  </si>
  <si>
    <t>Firma</t>
  </si>
  <si>
    <t>Cargo</t>
  </si>
  <si>
    <t>Compañía</t>
  </si>
  <si>
    <t>Sello</t>
  </si>
  <si>
    <t>HDMI y TV</t>
  </si>
  <si>
    <t>Canalización en tubería PVC Kraloy 19mm y cableado UTP Cat6A. Ruta por canasta hasta el rack se reutilizará canasta existente, ver notas y planos de re diseño. La instalación de todo el cableado de telecomunicaciones debe realizarse según lo indicado en el art. 800 del NEC 2014.</t>
  </si>
  <si>
    <t>Canalización en tubería PVC Kraloy 19mm y cableado UTP Cat6A. Contempla canasta portacables nueva, ver notas y planos de re diseño. La instalación de todo el cableado de telecomunicaciones debe realizarse según lo indicado en el art. 800 del NEC 2014.</t>
  </si>
  <si>
    <t>Tablero 6N6 (GEA)</t>
  </si>
  <si>
    <t>Tuberia desagüe sanitaria 50mm y accesorios</t>
  </si>
  <si>
    <t>Conexión  a tuberías de ventilación sanitaria existentes</t>
  </si>
  <si>
    <t>Tuberia sanitaria PVC 38mm y accesorios</t>
  </si>
  <si>
    <t>Tubería potable 13mm y accesorios</t>
  </si>
  <si>
    <t>Canasta portacables 7,5x15cm</t>
  </si>
  <si>
    <t>Soportería e instalación de canastas</t>
  </si>
  <si>
    <t>Equipo Pasivo, suministrado e instalado por el contratista</t>
  </si>
  <si>
    <t>Equipo Activo Será Suplido por el Propietario, Instalado por el Contratista</t>
  </si>
  <si>
    <t>Suministro e instalación de TGB</t>
  </si>
  <si>
    <t>Extractores Aire</t>
  </si>
  <si>
    <t>Ductería extracción</t>
  </si>
  <si>
    <t>Suministro e instalación de extractores de aire</t>
  </si>
  <si>
    <t>Desinstalación de tableros</t>
  </si>
  <si>
    <t>Reubicar circuitos ramales A/C Condensadores</t>
  </si>
  <si>
    <t>Reubicar circuitos ramales A/C Evaporadores</t>
  </si>
  <si>
    <t>Suministro e instalación de tablero nuevo trifásico 18 espacios</t>
  </si>
  <si>
    <t>Suministro e instalación de tablero nuevo monofásico 18 espacios</t>
  </si>
  <si>
    <t>Suministro e instalación de tablero nuevo trifásico 30 espacios</t>
  </si>
  <si>
    <t>Instalación de UPS de 6.000 VA Suministrada por el Cliente</t>
  </si>
  <si>
    <t>Incumplimiento ducto entre tablero y ATS, reemplazar por tubería EMT UL</t>
  </si>
  <si>
    <t>Re diseño de Ductos</t>
  </si>
  <si>
    <t>Suministro de rejillas de A/C, ver especificaciones en planos de re diseño.</t>
  </si>
  <si>
    <t>Suministro e instalación de Unidades indicadas en planos de diseño</t>
  </si>
  <si>
    <t>Contempla potencia y control</t>
  </si>
  <si>
    <t>Tubería para refrigerante</t>
  </si>
  <si>
    <t>Aire Fresco</t>
  </si>
  <si>
    <t>Suministro e instalación de Unidades inyectoras indicadas en planos de diseño</t>
  </si>
  <si>
    <t>Suministro de rejillas, ver especificaciones en planos de re diseño.</t>
  </si>
  <si>
    <t>Stm</t>
  </si>
  <si>
    <t>Canalización en tubería PVC Kraloy 19mm y cableado. Ruta por canasta hasta el rack se reutilizará canasta existente, ver notas y planos de re diseño. La instalación de todo el cableado de telecomunicaciones debe realizarse según lo indicado en el art. 800 del NEC 2014.</t>
  </si>
  <si>
    <t>Requiere reemplazo de centros de carga que no son de uso comercial E7, 4N6, 5N6, 6N6. Todo material y equipo eléctrico debe de ser instalado según las instrucciones del fabricante, esto incluye uso permitidos y no permitidos contenidos en la certificación del producto, según la sección 110.3 (B) del NEC 2014. Los paneles eléctricos se deben instalar según lo indicado en los art. 312 y 408 del NEC 2014.</t>
  </si>
  <si>
    <t>Suministro e instalación de Luminaria 2x2 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</si>
</sst>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 #,##0.00_);_(* \(#,##0.00\);_(* &quot;-&quot;??_);_(@_)"/>
    <numFmt numFmtId="165" formatCode="_(* #,##0_);_(* \(#,##0\);_(* &quot;-&quot;_);_(@_)"/>
    <numFmt numFmtId="166" formatCode="_(* #,##0_);_(* \(#,##0\);_(* &quot;-&quot;??_);_(@_)"/>
    <numFmt numFmtId="167" formatCode="_([$$-409]* #,##0.00_);_([$$-409]* \(#,##0.00\);_([$$-409]* &quot;-&quot;??_);_(@_)"/>
  </numFmts>
  <fonts count="18" x14ac:knownFonts="1">
    <font>
      <sz val="11"/>
      <color theme="1"/>
      <name val="Aptos Narrow"/>
      <family val="2"/>
      <scheme val="minor"/>
    </font>
    <font>
      <sz val="11"/>
      <color theme="1"/>
      <name val="Aptos Narrow"/>
      <family val="2"/>
      <scheme val="minor"/>
    </font>
    <font>
      <sz val="12"/>
      <color theme="1"/>
      <name val="Aptos Narrow"/>
      <family val="2"/>
      <scheme val="minor"/>
    </font>
    <font>
      <b/>
      <sz val="12"/>
      <color rgb="FFFF00FF"/>
      <name val="Aptos Narrow"/>
      <family val="2"/>
      <scheme val="minor"/>
    </font>
    <font>
      <b/>
      <sz val="14"/>
      <color rgb="FF0000FF"/>
      <name val="Aptos Narrow"/>
      <family val="2"/>
      <scheme val="minor"/>
    </font>
    <font>
      <b/>
      <sz val="14"/>
      <name val="Aptos Narrow"/>
      <family val="2"/>
      <scheme val="minor"/>
    </font>
    <font>
      <sz val="12"/>
      <name val="Aptos Narrow"/>
      <family val="2"/>
      <scheme val="minor"/>
    </font>
    <font>
      <i/>
      <sz val="10"/>
      <color theme="1"/>
      <name val="Aptos Narrow"/>
      <family val="2"/>
      <scheme val="minor"/>
    </font>
    <font>
      <i/>
      <sz val="12"/>
      <color theme="1"/>
      <name val="Aptos Narrow"/>
      <family val="2"/>
      <scheme val="minor"/>
    </font>
    <font>
      <b/>
      <i/>
      <sz val="14"/>
      <color theme="1"/>
      <name val="Aptos Narrow"/>
      <family val="2"/>
      <scheme val="minor"/>
    </font>
    <font>
      <b/>
      <sz val="12"/>
      <color rgb="FF0070C0"/>
      <name val="Aptos Narrow"/>
      <family val="2"/>
      <scheme val="minor"/>
    </font>
    <font>
      <sz val="12"/>
      <color rgb="FF0070C0"/>
      <name val="Aptos Narrow"/>
      <family val="2"/>
      <scheme val="minor"/>
    </font>
    <font>
      <b/>
      <sz val="12"/>
      <name val="Aptos Narrow"/>
      <family val="2"/>
      <scheme val="minor"/>
    </font>
    <font>
      <b/>
      <i/>
      <sz val="12"/>
      <color theme="1"/>
      <name val="Aptos Narrow"/>
      <family val="2"/>
      <scheme val="minor"/>
    </font>
    <font>
      <b/>
      <sz val="12"/>
      <color theme="8"/>
      <name val="Aptos Narrow"/>
      <family val="2"/>
      <scheme val="minor"/>
    </font>
    <font>
      <sz val="8"/>
      <name val="Aptos Narrow"/>
      <family val="2"/>
      <scheme val="minor"/>
    </font>
    <font>
      <b/>
      <sz val="12"/>
      <color rgb="FF000000"/>
      <name val="Aptos Narrow"/>
      <family val="2"/>
      <scheme val="minor"/>
    </font>
    <font>
      <sz val="12"/>
      <color rgb="FF000000"/>
      <name val="Aptos Narrow"/>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theme="3" tint="0.499984740745262"/>
        <bgColor indexed="64"/>
      </patternFill>
    </fill>
  </fills>
  <borders count="8">
    <border>
      <left/>
      <right/>
      <top/>
      <bottom/>
      <diagonal/>
    </border>
    <border>
      <left/>
      <right/>
      <top style="hair">
        <color auto="1"/>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s>
  <cellStyleXfs count="4">
    <xf numFmtId="0" fontId="0" fillId="0" borderId="0"/>
    <xf numFmtId="4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1" xfId="0" applyFont="1" applyBorder="1"/>
    <xf numFmtId="164" fontId="2" fillId="0" borderId="1" xfId="2" applyFont="1" applyBorder="1"/>
    <xf numFmtId="0" fontId="2" fillId="0" borderId="0" xfId="0" applyFont="1"/>
    <xf numFmtId="0" fontId="3" fillId="0" borderId="0" xfId="0" applyFont="1" applyAlignment="1">
      <alignment horizontal="center" vertical="center"/>
    </xf>
    <xf numFmtId="0" fontId="6" fillId="0" borderId="0" xfId="0" applyFont="1" applyAlignment="1">
      <alignment horizontal="center" vertical="center"/>
    </xf>
    <xf numFmtId="164" fontId="6" fillId="0" borderId="0" xfId="2" applyFont="1" applyBorder="1" applyAlignment="1">
      <alignment horizontal="center" vertical="center"/>
    </xf>
    <xf numFmtId="0" fontId="6" fillId="0" borderId="0" xfId="0" applyFont="1" applyAlignment="1">
      <alignment vertical="center" wrapText="1"/>
    </xf>
    <xf numFmtId="0" fontId="2" fillId="0" borderId="0" xfId="0" applyFont="1" applyAlignment="1">
      <alignment wrapText="1"/>
    </xf>
    <xf numFmtId="0" fontId="12" fillId="0" borderId="2" xfId="0" applyFont="1" applyBorder="1" applyAlignment="1">
      <alignment horizontal="center" vertical="center"/>
    </xf>
    <xf numFmtId="164" fontId="12" fillId="0" borderId="2" xfId="2" applyFont="1" applyBorder="1" applyAlignment="1">
      <alignment horizontal="center" vertical="center"/>
    </xf>
    <xf numFmtId="165" fontId="12" fillId="0" borderId="2" xfId="3" applyFont="1" applyFill="1" applyBorder="1" applyAlignment="1">
      <alignment horizontal="center" vertical="center"/>
    </xf>
    <xf numFmtId="0" fontId="6" fillId="0" borderId="2" xfId="0" applyFont="1" applyBorder="1" applyAlignment="1">
      <alignment horizontal="center" vertical="center"/>
    </xf>
    <xf numFmtId="0" fontId="12" fillId="0" borderId="2" xfId="0" applyFont="1" applyBorder="1" applyAlignment="1">
      <alignment vertical="center" wrapText="1"/>
    </xf>
    <xf numFmtId="164" fontId="6" fillId="0" borderId="2" xfId="2" applyFont="1" applyBorder="1" applyAlignment="1">
      <alignment horizontal="right" vertical="center"/>
    </xf>
    <xf numFmtId="166" fontId="6" fillId="0" borderId="2" xfId="2" applyNumberFormat="1" applyFont="1" applyFill="1" applyBorder="1" applyAlignment="1">
      <alignment vertical="center"/>
    </xf>
    <xf numFmtId="166" fontId="6" fillId="0" borderId="2" xfId="0" applyNumberFormat="1" applyFont="1" applyBorder="1" applyAlignment="1">
      <alignment vertical="center"/>
    </xf>
    <xf numFmtId="0" fontId="6" fillId="0" borderId="2" xfId="0" applyFont="1" applyBorder="1" applyAlignment="1">
      <alignment vertical="center" wrapText="1"/>
    </xf>
    <xf numFmtId="167" fontId="6" fillId="0" borderId="2" xfId="2" applyNumberFormat="1" applyFont="1" applyFill="1" applyBorder="1" applyAlignment="1">
      <alignment vertical="center"/>
    </xf>
    <xf numFmtId="0" fontId="6" fillId="0" borderId="2" xfId="0" applyFont="1" applyBorder="1" applyAlignment="1">
      <alignment vertical="top" wrapText="1"/>
    </xf>
    <xf numFmtId="167" fontId="6" fillId="0" borderId="2" xfId="0" applyNumberFormat="1" applyFont="1" applyBorder="1" applyAlignment="1">
      <alignment vertical="center"/>
    </xf>
    <xf numFmtId="167" fontId="6" fillId="0" borderId="2" xfId="1" applyNumberFormat="1" applyFont="1" applyFill="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vertical="top" wrapText="1"/>
    </xf>
    <xf numFmtId="164" fontId="6" fillId="0" borderId="3" xfId="2" applyFont="1" applyBorder="1" applyAlignment="1">
      <alignment horizontal="right" vertical="center"/>
    </xf>
    <xf numFmtId="164" fontId="6" fillId="0" borderId="2" xfId="2" applyFont="1" applyFill="1" applyBorder="1" applyAlignment="1">
      <alignment horizontal="right" vertical="center"/>
    </xf>
    <xf numFmtId="0" fontId="12" fillId="0" borderId="2" xfId="0" applyFont="1" applyBorder="1" applyAlignment="1">
      <alignment vertical="top" wrapText="1"/>
    </xf>
    <xf numFmtId="164" fontId="2" fillId="0" borderId="0" xfId="2" applyFont="1"/>
    <xf numFmtId="0" fontId="12" fillId="0" borderId="2" xfId="0" applyFont="1" applyBorder="1" applyAlignment="1">
      <alignment vertical="center"/>
    </xf>
    <xf numFmtId="164" fontId="6" fillId="0" borderId="2" xfId="2" applyFont="1" applyBorder="1" applyAlignment="1">
      <alignment horizontal="right" vertical="top"/>
    </xf>
    <xf numFmtId="167" fontId="12" fillId="0" borderId="2" xfId="0" applyNumberFormat="1" applyFont="1" applyBorder="1" applyAlignment="1">
      <alignment vertical="center"/>
    </xf>
    <xf numFmtId="0" fontId="2" fillId="0" borderId="0" xfId="0" applyFont="1" applyAlignment="1">
      <alignment horizontal="left" wrapText="1"/>
    </xf>
    <xf numFmtId="164" fontId="0" fillId="0" borderId="0" xfId="2" applyFont="1" applyBorder="1"/>
    <xf numFmtId="0" fontId="6" fillId="0" borderId="0" xfId="0" applyFont="1" applyAlignment="1">
      <alignment vertical="center"/>
    </xf>
    <xf numFmtId="164" fontId="6" fillId="0" borderId="0" xfId="2" applyFont="1" applyBorder="1" applyAlignment="1">
      <alignment vertical="center"/>
    </xf>
    <xf numFmtId="164" fontId="2" fillId="0" borderId="0" xfId="2" applyFont="1" applyBorder="1" applyAlignment="1">
      <alignment vertical="top"/>
    </xf>
    <xf numFmtId="0" fontId="2" fillId="0" borderId="0" xfId="0" applyFont="1" applyAlignment="1">
      <alignment vertical="top"/>
    </xf>
    <xf numFmtId="0" fontId="2" fillId="0" borderId="7" xfId="0" applyFont="1" applyBorder="1"/>
    <xf numFmtId="164" fontId="2" fillId="0" borderId="7" xfId="2" applyFont="1" applyBorder="1"/>
    <xf numFmtId="0" fontId="2" fillId="0" borderId="0" xfId="0" applyFont="1" applyAlignment="1">
      <alignment vertical="center"/>
    </xf>
    <xf numFmtId="0" fontId="16" fillId="0" borderId="2" xfId="0" applyFont="1" applyBorder="1" applyAlignment="1">
      <alignment vertical="center" wrapText="1"/>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164" fontId="6" fillId="0" borderId="2" xfId="2" applyFont="1" applyFill="1" applyBorder="1" applyAlignment="1">
      <alignment horizontal="right" vertical="top"/>
    </xf>
    <xf numFmtId="164" fontId="2" fillId="0" borderId="0" xfId="2" applyFont="1" applyFill="1"/>
    <xf numFmtId="0" fontId="6" fillId="0" borderId="6" xfId="0" applyFont="1" applyBorder="1" applyAlignment="1">
      <alignment vertical="top" wrapText="1"/>
    </xf>
    <xf numFmtId="164" fontId="6" fillId="0" borderId="6" xfId="2" applyFont="1" applyBorder="1" applyAlignment="1">
      <alignment horizontal="right" vertical="top"/>
    </xf>
    <xf numFmtId="0" fontId="6" fillId="0" borderId="6" xfId="0" applyFont="1" applyBorder="1" applyAlignment="1">
      <alignment horizontal="center" vertical="center"/>
    </xf>
    <xf numFmtId="167" fontId="6" fillId="0" borderId="3" xfId="1" applyNumberFormat="1" applyFont="1" applyFill="1" applyBorder="1" applyAlignment="1">
      <alignment vertical="center"/>
    </xf>
    <xf numFmtId="0" fontId="9" fillId="2" borderId="2" xfId="0" applyFont="1" applyFill="1" applyBorder="1" applyAlignment="1">
      <alignment horizontal="center" vertical="center" wrapText="1"/>
    </xf>
    <xf numFmtId="0" fontId="2" fillId="0" borderId="0" xfId="0" applyFont="1" applyAlignment="1">
      <alignment horizontal="left" vertical="top" wrapText="1"/>
    </xf>
    <xf numFmtId="0" fontId="14" fillId="3" borderId="2" xfId="0" applyFont="1" applyFill="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2" fillId="0" borderId="0" xfId="0" applyFont="1" applyAlignment="1">
      <alignment horizontal="left"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0" fontId="10" fillId="3" borderId="2" xfId="0" applyFont="1" applyFill="1" applyBorder="1" applyAlignment="1">
      <alignment horizontal="center" vertical="center"/>
    </xf>
    <xf numFmtId="0" fontId="11" fillId="0" borderId="2" xfId="0" applyFont="1" applyBorder="1" applyAlignment="1">
      <alignment horizontal="center" vertical="center"/>
    </xf>
    <xf numFmtId="0" fontId="13" fillId="0" borderId="2" xfId="0" applyFont="1" applyBorder="1" applyAlignment="1">
      <alignment horizontal="center" vertical="center" wrapText="1"/>
    </xf>
    <xf numFmtId="0" fontId="9" fillId="4"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center" vertical="center" wrapText="1"/>
    </xf>
    <xf numFmtId="0" fontId="7" fillId="0" borderId="2" xfId="0" applyFont="1" applyBorder="1" applyAlignment="1">
      <alignment horizontal="center" vertical="center" wrapText="1"/>
    </xf>
    <xf numFmtId="0" fontId="12" fillId="0" borderId="2" xfId="0" applyFont="1" applyFill="1" applyBorder="1" applyAlignment="1">
      <alignment vertical="center"/>
    </xf>
    <xf numFmtId="0" fontId="6" fillId="0" borderId="2" xfId="0" applyFont="1" applyFill="1" applyBorder="1" applyAlignment="1">
      <alignment vertical="top" wrapText="1"/>
    </xf>
    <xf numFmtId="0" fontId="6" fillId="0" borderId="2" xfId="0" applyFont="1" applyFill="1" applyBorder="1" applyAlignment="1">
      <alignment horizontal="center" vertical="center"/>
    </xf>
  </cellXfs>
  <cellStyles count="4">
    <cellStyle name="Millares [0] 2" xfId="3" xr:uid="{00000000-0005-0000-0000-000000000000}"/>
    <cellStyle name="Millares 2" xfId="2" xr:uid="{00000000-0005-0000-0000-000001000000}"/>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84598</xdr:colOff>
      <xdr:row>1</xdr:row>
      <xdr:rowOff>62170</xdr:rowOff>
    </xdr:from>
    <xdr:to>
      <xdr:col>1</xdr:col>
      <xdr:colOff>1209675</xdr:colOff>
      <xdr:row>3</xdr:row>
      <xdr:rowOff>138232</xdr:rowOff>
    </xdr:to>
    <xdr:pic>
      <xdr:nvPicPr>
        <xdr:cNvPr id="2" name="Picture 27" descr="Icono&#10;&#10;Descripción generada automáticamente">
          <a:extLst>
            <a:ext uri="{FF2B5EF4-FFF2-40B4-BE49-F238E27FC236}">
              <a16:creationId xmlns:a16="http://schemas.microsoft.com/office/drawing/2014/main" id="{3F3C5DD7-AC2A-43AF-8315-A91F9C7011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473" y="262195"/>
          <a:ext cx="1506077" cy="55231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rsonal/Downloads/Presupuesto%20Etap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I. Electrical "/>
      <sheetName val="S3 TO"/>
      <sheetName val="S3 IL"/>
      <sheetName val="N1 IL"/>
      <sheetName val="N1 TO-TL"/>
      <sheetName val="N2 TO-TL"/>
      <sheetName val="N2 IL"/>
      <sheetName val="N6 TO-TL"/>
      <sheetName val="N6-IL"/>
      <sheetName val="DET"/>
    </sheetNames>
    <sheetDataSet>
      <sheetData sheetId="0"/>
      <sheetData sheetId="1"/>
      <sheetData sheetId="2"/>
      <sheetData sheetId="3">
        <row r="3">
          <cell r="B3">
            <v>13</v>
          </cell>
        </row>
      </sheetData>
      <sheetData sheetId="4"/>
      <sheetData sheetId="5"/>
      <sheetData sheetId="6">
        <row r="2">
          <cell r="B2">
            <v>52</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G416"/>
  <sheetViews>
    <sheetView showGridLines="0" tabSelected="1" view="pageBreakPreview" topLeftCell="A381" zoomScale="85" zoomScaleNormal="93" zoomScaleSheetLayoutView="85" workbookViewId="0">
      <selection activeCell="G98" sqref="G98"/>
    </sheetView>
  </sheetViews>
  <sheetFormatPr baseColWidth="10" defaultColWidth="9.140625" defaultRowHeight="15.75" x14ac:dyDescent="0.25"/>
  <cols>
    <col min="1" max="1" width="5.7109375" style="3" customWidth="1"/>
    <col min="2" max="2" width="78.5703125" style="3" customWidth="1"/>
    <col min="3" max="3" width="12.7109375" style="27" customWidth="1"/>
    <col min="4" max="4" width="9.7109375" style="3" customWidth="1"/>
    <col min="5" max="5" width="14.28515625" style="3" bestFit="1" customWidth="1"/>
    <col min="6" max="6" width="19.42578125" style="3" customWidth="1"/>
    <col min="7" max="7" width="41.28515625" style="3" bestFit="1" customWidth="1"/>
    <col min="8" max="16384" width="9.140625" style="3"/>
  </cols>
  <sheetData>
    <row r="1" spans="1:6" x14ac:dyDescent="0.25">
      <c r="A1" s="1"/>
      <c r="B1" s="1"/>
      <c r="C1" s="2"/>
      <c r="D1" s="1"/>
      <c r="E1" s="1"/>
      <c r="F1" s="1"/>
    </row>
    <row r="2" spans="1:6" ht="18.75" x14ac:dyDescent="0.3">
      <c r="A2" s="4"/>
      <c r="B2" s="68" t="s">
        <v>0</v>
      </c>
      <c r="C2" s="68"/>
      <c r="D2" s="68"/>
      <c r="E2" s="68"/>
      <c r="F2" s="68"/>
    </row>
    <row r="3" spans="1:6" ht="18.75" x14ac:dyDescent="0.3">
      <c r="A3" s="4"/>
      <c r="B3" s="68" t="s">
        <v>1</v>
      </c>
      <c r="C3" s="68"/>
      <c r="D3" s="68"/>
      <c r="E3" s="68"/>
      <c r="F3" s="68"/>
    </row>
    <row r="4" spans="1:6" ht="18.75" x14ac:dyDescent="0.3">
      <c r="A4" s="4"/>
      <c r="B4" s="68" t="s">
        <v>2</v>
      </c>
      <c r="C4" s="68"/>
      <c r="D4" s="68"/>
      <c r="E4" s="68"/>
      <c r="F4" s="68"/>
    </row>
    <row r="5" spans="1:6" ht="33.75" customHeight="1" x14ac:dyDescent="0.25">
      <c r="A5" s="69" t="s">
        <v>3</v>
      </c>
      <c r="B5" s="69"/>
      <c r="C5" s="69"/>
      <c r="D5" s="69"/>
      <c r="E5" s="69"/>
      <c r="F5" s="69"/>
    </row>
    <row r="6" spans="1:6" x14ac:dyDescent="0.25">
      <c r="A6" s="5"/>
      <c r="B6" s="5"/>
      <c r="C6" s="6"/>
      <c r="D6" s="5"/>
      <c r="E6" s="5"/>
      <c r="F6" s="7"/>
    </row>
    <row r="7" spans="1:6" ht="80.25" customHeight="1" x14ac:dyDescent="0.25">
      <c r="A7" s="70" t="s">
        <v>4</v>
      </c>
      <c r="B7" s="70"/>
      <c r="C7" s="70"/>
      <c r="D7" s="70"/>
      <c r="E7" s="70"/>
      <c r="F7" s="70"/>
    </row>
    <row r="8" spans="1:6" ht="9" customHeight="1" x14ac:dyDescent="0.25">
      <c r="A8" s="65"/>
      <c r="B8" s="66"/>
      <c r="C8" s="66"/>
      <c r="D8" s="66"/>
      <c r="E8" s="66"/>
      <c r="F8" s="67"/>
    </row>
    <row r="9" spans="1:6" ht="18.75" x14ac:dyDescent="0.25">
      <c r="A9" s="50" t="s">
        <v>5</v>
      </c>
      <c r="B9" s="50"/>
      <c r="C9" s="50"/>
      <c r="D9" s="50"/>
      <c r="E9" s="50"/>
      <c r="F9" s="50"/>
    </row>
    <row r="10" spans="1:6" x14ac:dyDescent="0.25">
      <c r="A10" s="61" t="s">
        <v>6</v>
      </c>
      <c r="B10" s="61"/>
      <c r="C10" s="61"/>
      <c r="D10" s="61"/>
      <c r="E10" s="61"/>
      <c r="F10" s="61"/>
    </row>
    <row r="11" spans="1:6" x14ac:dyDescent="0.25">
      <c r="A11" s="62"/>
      <c r="B11" s="62"/>
      <c r="C11" s="62"/>
      <c r="D11" s="62"/>
      <c r="E11" s="62"/>
      <c r="F11" s="62"/>
    </row>
    <row r="12" spans="1:6" x14ac:dyDescent="0.25">
      <c r="A12" s="9" t="s">
        <v>7</v>
      </c>
      <c r="B12" s="9" t="s">
        <v>8</v>
      </c>
      <c r="C12" s="10" t="s">
        <v>9</v>
      </c>
      <c r="D12" s="9" t="s">
        <v>10</v>
      </c>
      <c r="E12" s="11" t="s">
        <v>11</v>
      </c>
      <c r="F12" s="11" t="s">
        <v>12</v>
      </c>
    </row>
    <row r="13" spans="1:6" x14ac:dyDescent="0.25">
      <c r="A13" s="12">
        <v>1</v>
      </c>
      <c r="B13" s="13" t="s">
        <v>13</v>
      </c>
      <c r="C13" s="14"/>
      <c r="D13" s="12"/>
      <c r="E13" s="15"/>
      <c r="F13" s="16"/>
    </row>
    <row r="14" spans="1:6" ht="31.5" x14ac:dyDescent="0.25">
      <c r="A14" s="12">
        <v>1.1000000000000001</v>
      </c>
      <c r="B14" s="17" t="s">
        <v>14</v>
      </c>
      <c r="C14" s="14">
        <v>2</v>
      </c>
      <c r="D14" s="12" t="s">
        <v>15</v>
      </c>
      <c r="E14" s="18">
        <f>11*1.3</f>
        <v>14.3</v>
      </c>
      <c r="F14" s="18">
        <f>+E14*C14</f>
        <v>28.6</v>
      </c>
    </row>
    <row r="15" spans="1:6" ht="31.5" x14ac:dyDescent="0.25">
      <c r="A15" s="12">
        <v>1.2</v>
      </c>
      <c r="B15" s="17" t="s">
        <v>16</v>
      </c>
      <c r="C15" s="14">
        <v>4</v>
      </c>
      <c r="D15" s="12" t="s">
        <v>15</v>
      </c>
      <c r="E15" s="18">
        <v>10</v>
      </c>
      <c r="F15" s="18">
        <f>+E15*C15</f>
        <v>40</v>
      </c>
    </row>
    <row r="16" spans="1:6" ht="94.5" x14ac:dyDescent="0.25">
      <c r="A16" s="12">
        <v>1.3</v>
      </c>
      <c r="B16" s="17" t="s">
        <v>17</v>
      </c>
      <c r="C16" s="14"/>
      <c r="D16" s="12"/>
      <c r="E16" s="18"/>
      <c r="F16" s="18"/>
    </row>
    <row r="17" spans="1:6" x14ac:dyDescent="0.25">
      <c r="A17" s="12">
        <v>1.4</v>
      </c>
      <c r="B17" s="17" t="s">
        <v>173</v>
      </c>
      <c r="C17" s="14">
        <v>1</v>
      </c>
      <c r="D17" s="12" t="s">
        <v>28</v>
      </c>
      <c r="E17" s="18">
        <v>390</v>
      </c>
      <c r="F17" s="18">
        <f>+E17*C17</f>
        <v>390</v>
      </c>
    </row>
    <row r="18" spans="1:6" ht="30.95" customHeight="1" x14ac:dyDescent="0.25">
      <c r="A18" s="12">
        <v>2</v>
      </c>
      <c r="B18" s="13" t="s">
        <v>18</v>
      </c>
      <c r="C18" s="14"/>
      <c r="D18" s="12"/>
      <c r="E18" s="18"/>
      <c r="F18" s="18"/>
    </row>
    <row r="19" spans="1:6" ht="47.25" x14ac:dyDescent="0.25">
      <c r="A19" s="12"/>
      <c r="B19" s="19" t="s">
        <v>19</v>
      </c>
      <c r="C19" s="14"/>
      <c r="D19" s="12"/>
      <c r="E19" s="18"/>
      <c r="F19" s="20"/>
    </row>
    <row r="20" spans="1:6" x14ac:dyDescent="0.25">
      <c r="A20" s="12" t="s">
        <v>20</v>
      </c>
      <c r="B20" s="17" t="s">
        <v>174</v>
      </c>
      <c r="C20" s="14">
        <v>1</v>
      </c>
      <c r="D20" s="12"/>
      <c r="E20" s="21">
        <v>6000</v>
      </c>
      <c r="F20" s="21">
        <f t="shared" ref="F20" si="0">C20*E20</f>
        <v>6000</v>
      </c>
    </row>
    <row r="21" spans="1:6" x14ac:dyDescent="0.25">
      <c r="A21" s="12">
        <v>2.1</v>
      </c>
      <c r="B21" s="19" t="s">
        <v>22</v>
      </c>
      <c r="C21" s="14"/>
      <c r="D21" s="12"/>
      <c r="E21" s="18"/>
      <c r="F21" s="20"/>
    </row>
    <row r="22" spans="1:6" x14ac:dyDescent="0.25">
      <c r="A22" s="12">
        <v>2.2000000000000002</v>
      </c>
      <c r="B22" s="19" t="s">
        <v>23</v>
      </c>
      <c r="C22" s="14"/>
      <c r="D22" s="12"/>
      <c r="E22" s="18"/>
      <c r="F22" s="20"/>
    </row>
    <row r="23" spans="1:6" x14ac:dyDescent="0.25">
      <c r="A23" s="12">
        <v>2.2999999999999998</v>
      </c>
      <c r="B23" s="19" t="s">
        <v>24</v>
      </c>
      <c r="C23" s="14"/>
      <c r="D23" s="12"/>
      <c r="E23" s="18"/>
      <c r="F23" s="20"/>
    </row>
    <row r="24" spans="1:6" x14ac:dyDescent="0.25">
      <c r="A24" s="12">
        <v>2.4</v>
      </c>
      <c r="B24" s="19" t="s">
        <v>25</v>
      </c>
      <c r="C24" s="14"/>
      <c r="D24" s="12"/>
      <c r="E24" s="18"/>
      <c r="F24" s="20"/>
    </row>
    <row r="25" spans="1:6" ht="29.45" customHeight="1" x14ac:dyDescent="0.25">
      <c r="A25" s="12">
        <v>3</v>
      </c>
      <c r="B25" s="13" t="s">
        <v>26</v>
      </c>
      <c r="C25" s="14"/>
      <c r="D25" s="12"/>
      <c r="E25" s="18"/>
      <c r="F25" s="20"/>
    </row>
    <row r="26" spans="1:6" ht="189" x14ac:dyDescent="0.25">
      <c r="A26" s="12">
        <v>3.1</v>
      </c>
      <c r="B26" s="19" t="s">
        <v>27</v>
      </c>
      <c r="C26" s="14">
        <f>SUM(C28:C31)*3</f>
        <v>276</v>
      </c>
      <c r="D26" s="12" t="s">
        <v>28</v>
      </c>
      <c r="E26" s="21">
        <f>2+(2500*0.5*1.54)/509</f>
        <v>5.7819253438113947</v>
      </c>
      <c r="F26" s="18">
        <f>E26*C26</f>
        <v>1595.8113948919449</v>
      </c>
    </row>
    <row r="27" spans="1:6" ht="31.5" x14ac:dyDescent="0.25">
      <c r="A27" s="22">
        <v>3.2</v>
      </c>
      <c r="B27" s="23" t="s">
        <v>29</v>
      </c>
      <c r="C27" s="14">
        <f>SUM(C28:C31)+10</f>
        <v>102</v>
      </c>
      <c r="D27" s="12" t="s">
        <v>28</v>
      </c>
      <c r="E27" s="21">
        <v>4.5</v>
      </c>
      <c r="F27" s="18">
        <f>C27*E27</f>
        <v>459</v>
      </c>
    </row>
    <row r="28" spans="1:6" ht="47.25" x14ac:dyDescent="0.25">
      <c r="A28" s="12">
        <v>3.3</v>
      </c>
      <c r="B28" s="23" t="s">
        <v>30</v>
      </c>
      <c r="C28" s="14">
        <f>'[1]N1 IL'!B3</f>
        <v>13</v>
      </c>
      <c r="D28" s="12" t="s">
        <v>28</v>
      </c>
      <c r="E28" s="21">
        <f>(80+(2500*0.75*1.54/510))*1.2</f>
        <v>102.79411764705881</v>
      </c>
      <c r="F28" s="21">
        <f>E28*C28</f>
        <v>1336.3235294117646</v>
      </c>
    </row>
    <row r="29" spans="1:6" ht="47.25" x14ac:dyDescent="0.25">
      <c r="A29" s="12">
        <v>3.4</v>
      </c>
      <c r="B29" s="23" t="s">
        <v>31</v>
      </c>
      <c r="C29" s="24">
        <v>13</v>
      </c>
      <c r="D29" s="12" t="s">
        <v>28</v>
      </c>
      <c r="E29" s="21">
        <f>(169.5+(2500*0.75*1.54/510))*1.2</f>
        <v>210.19411764705882</v>
      </c>
      <c r="F29" s="18">
        <f>E29*C29</f>
        <v>2732.5235294117647</v>
      </c>
    </row>
    <row r="30" spans="1:6" ht="47.25" x14ac:dyDescent="0.25">
      <c r="A30" s="12">
        <v>3.5</v>
      </c>
      <c r="B30" s="19" t="s">
        <v>32</v>
      </c>
      <c r="C30" s="14">
        <v>19</v>
      </c>
      <c r="D30" s="12" t="s">
        <v>28</v>
      </c>
      <c r="E30" s="21">
        <f>(130+(2500*0.75*1.54/510))*1.2</f>
        <v>162.79411764705881</v>
      </c>
      <c r="F30" s="21">
        <f>E30*C30</f>
        <v>3093.0882352941176</v>
      </c>
    </row>
    <row r="31" spans="1:6" ht="47.25" x14ac:dyDescent="0.25">
      <c r="A31" s="12">
        <v>3.6</v>
      </c>
      <c r="B31" s="19" t="s">
        <v>33</v>
      </c>
      <c r="C31" s="14">
        <v>47</v>
      </c>
      <c r="D31" s="12" t="s">
        <v>28</v>
      </c>
      <c r="E31" s="21">
        <f>60+(2500*0.75*1.54/510)</f>
        <v>65.661764705882348</v>
      </c>
      <c r="F31" s="18">
        <f t="shared" ref="F31" si="1">E31*C31</f>
        <v>3086.1029411764703</v>
      </c>
    </row>
    <row r="32" spans="1:6" ht="47.25" x14ac:dyDescent="0.25">
      <c r="A32" s="12">
        <v>3.7</v>
      </c>
      <c r="B32" s="19" t="s">
        <v>34</v>
      </c>
      <c r="C32" s="14" t="s">
        <v>35</v>
      </c>
      <c r="D32" s="12"/>
      <c r="E32" s="21"/>
      <c r="F32" s="21"/>
    </row>
    <row r="33" spans="1:6" ht="63" x14ac:dyDescent="0.25">
      <c r="A33" s="12">
        <v>4</v>
      </c>
      <c r="B33" s="13" t="s">
        <v>36</v>
      </c>
      <c r="C33" s="14" t="s">
        <v>35</v>
      </c>
      <c r="D33" s="12"/>
      <c r="E33" s="21"/>
      <c r="F33" s="21"/>
    </row>
    <row r="34" spans="1:6" ht="38.450000000000003" customHeight="1" x14ac:dyDescent="0.25">
      <c r="A34" s="12">
        <v>5</v>
      </c>
      <c r="B34" s="13" t="s">
        <v>37</v>
      </c>
      <c r="C34" s="14"/>
      <c r="D34" s="12"/>
      <c r="E34" s="21"/>
      <c r="F34" s="18"/>
    </row>
    <row r="35" spans="1:6" ht="141.75" x14ac:dyDescent="0.25">
      <c r="A35" s="12">
        <v>5.0999999999999996</v>
      </c>
      <c r="B35" s="17" t="s">
        <v>38</v>
      </c>
      <c r="C35" s="14" t="s">
        <v>35</v>
      </c>
      <c r="D35" s="12"/>
      <c r="E35" s="21"/>
      <c r="F35" s="21"/>
    </row>
    <row r="36" spans="1:6" ht="47.25" x14ac:dyDescent="0.25">
      <c r="A36" s="12">
        <v>5.2</v>
      </c>
      <c r="B36" s="19" t="s">
        <v>34</v>
      </c>
      <c r="C36" s="25">
        <v>21</v>
      </c>
      <c r="D36" s="12" t="s">
        <v>28</v>
      </c>
      <c r="E36" s="21">
        <f>25.08*1.5</f>
        <v>37.619999999999997</v>
      </c>
      <c r="F36" s="21">
        <f>C36*E36</f>
        <v>790.02</v>
      </c>
    </row>
    <row r="37" spans="1:6" x14ac:dyDescent="0.25">
      <c r="A37" s="12">
        <v>6</v>
      </c>
      <c r="B37" s="13" t="s">
        <v>39</v>
      </c>
      <c r="C37" s="25"/>
      <c r="D37" s="12"/>
      <c r="E37" s="21"/>
      <c r="F37" s="21"/>
    </row>
    <row r="38" spans="1:6" ht="31.5" x14ac:dyDescent="0.25">
      <c r="A38" s="12">
        <v>6.1</v>
      </c>
      <c r="B38" s="19" t="s">
        <v>40</v>
      </c>
      <c r="C38" s="25">
        <v>15</v>
      </c>
      <c r="D38" s="12" t="s">
        <v>28</v>
      </c>
      <c r="E38" s="21">
        <v>547.69000000000005</v>
      </c>
      <c r="F38" s="21">
        <f>C38*E38</f>
        <v>8215.35</v>
      </c>
    </row>
    <row r="39" spans="1:6" ht="94.5" x14ac:dyDescent="0.25">
      <c r="A39" s="12">
        <v>6.2</v>
      </c>
      <c r="B39" s="19" t="s">
        <v>41</v>
      </c>
      <c r="C39" s="14">
        <v>43</v>
      </c>
      <c r="D39" s="12" t="s">
        <v>28</v>
      </c>
      <c r="E39" s="21">
        <v>5</v>
      </c>
      <c r="F39" s="21">
        <f t="shared" ref="F39:F40" si="2">C39*E39</f>
        <v>215</v>
      </c>
    </row>
    <row r="40" spans="1:6" ht="94.5" x14ac:dyDescent="0.25">
      <c r="A40" s="12">
        <v>6.3</v>
      </c>
      <c r="B40" s="19" t="s">
        <v>42</v>
      </c>
      <c r="C40" s="14">
        <v>5</v>
      </c>
      <c r="D40" s="12" t="s">
        <v>28</v>
      </c>
      <c r="E40" s="21">
        <v>15</v>
      </c>
      <c r="F40" s="21">
        <f t="shared" si="2"/>
        <v>75</v>
      </c>
    </row>
    <row r="41" spans="1:6" ht="33.950000000000003" customHeight="1" x14ac:dyDescent="0.25">
      <c r="A41" s="12">
        <v>7</v>
      </c>
      <c r="B41" s="13" t="s">
        <v>43</v>
      </c>
      <c r="C41" s="14"/>
      <c r="D41" s="12"/>
      <c r="E41" s="15"/>
      <c r="F41" s="16"/>
    </row>
    <row r="42" spans="1:6" ht="63" x14ac:dyDescent="0.25">
      <c r="A42" s="12">
        <v>7.1</v>
      </c>
      <c r="B42" s="19" t="s">
        <v>151</v>
      </c>
      <c r="C42" s="14">
        <v>11</v>
      </c>
      <c r="D42" s="12" t="s">
        <v>28</v>
      </c>
      <c r="E42" s="21">
        <v>438.45</v>
      </c>
      <c r="F42" s="21">
        <f>E42*C42</f>
        <v>4822.95</v>
      </c>
    </row>
    <row r="43" spans="1:6" x14ac:dyDescent="0.25">
      <c r="A43" s="12">
        <v>7.2</v>
      </c>
      <c r="B43" s="19" t="s">
        <v>45</v>
      </c>
      <c r="C43" s="14">
        <v>11</v>
      </c>
      <c r="D43" s="12" t="s">
        <v>28</v>
      </c>
      <c r="E43" s="21">
        <f>7500/510</f>
        <v>14.705882352941176</v>
      </c>
      <c r="F43" s="21">
        <f>+E43*C43</f>
        <v>161.76470588235293</v>
      </c>
    </row>
    <row r="44" spans="1:6" x14ac:dyDescent="0.25">
      <c r="A44" s="12">
        <v>7.3</v>
      </c>
      <c r="B44" s="19" t="s">
        <v>46</v>
      </c>
      <c r="C44" s="14">
        <v>11</v>
      </c>
      <c r="D44" s="12" t="s">
        <v>28</v>
      </c>
      <c r="E44" s="21">
        <v>20</v>
      </c>
      <c r="F44" s="21">
        <f t="shared" ref="F44:F46" si="3">+E44*C44</f>
        <v>220</v>
      </c>
    </row>
    <row r="45" spans="1:6" x14ac:dyDescent="0.25">
      <c r="A45" s="12">
        <v>7.4</v>
      </c>
      <c r="B45" s="19" t="s">
        <v>47</v>
      </c>
      <c r="C45" s="14">
        <v>11</v>
      </c>
      <c r="D45" s="12" t="s">
        <v>28</v>
      </c>
      <c r="E45" s="21">
        <v>15</v>
      </c>
      <c r="F45" s="21">
        <f t="shared" si="3"/>
        <v>165</v>
      </c>
    </row>
    <row r="46" spans="1:6" x14ac:dyDescent="0.25">
      <c r="A46" s="12">
        <v>7.5</v>
      </c>
      <c r="B46" s="19" t="s">
        <v>48</v>
      </c>
      <c r="C46" s="14">
        <f>C42</f>
        <v>11</v>
      </c>
      <c r="D46" s="12" t="s">
        <v>28</v>
      </c>
      <c r="E46" s="21">
        <v>65</v>
      </c>
      <c r="F46" s="21">
        <f t="shared" si="3"/>
        <v>715</v>
      </c>
    </row>
    <row r="47" spans="1:6" x14ac:dyDescent="0.25">
      <c r="A47" s="12">
        <v>7.6</v>
      </c>
      <c r="B47" s="19" t="s">
        <v>158</v>
      </c>
      <c r="C47" s="14">
        <v>7</v>
      </c>
      <c r="D47" s="12" t="s">
        <v>28</v>
      </c>
      <c r="E47" s="21">
        <f>(18000/510)*1.3</f>
        <v>45.882352941176478</v>
      </c>
      <c r="F47" s="21">
        <f>C47*E47</f>
        <v>321.17647058823536</v>
      </c>
    </row>
    <row r="48" spans="1:6" x14ac:dyDescent="0.25">
      <c r="A48" s="12">
        <v>7.7</v>
      </c>
      <c r="B48" s="19" t="s">
        <v>159</v>
      </c>
      <c r="C48" s="14">
        <v>1</v>
      </c>
      <c r="D48" s="12" t="s">
        <v>28</v>
      </c>
      <c r="E48" s="21">
        <f>(((21*950+400*7+15*12000+4*7*400)+(45000*3))/510)*1.3</f>
        <v>889.48039215686276</v>
      </c>
      <c r="F48" s="21">
        <f>C48*E48</f>
        <v>889.48039215686276</v>
      </c>
    </row>
    <row r="49" spans="1:6" x14ac:dyDescent="0.25">
      <c r="A49" s="12">
        <v>8</v>
      </c>
      <c r="B49" s="13" t="s">
        <v>49</v>
      </c>
      <c r="C49" s="14"/>
      <c r="D49" s="12"/>
      <c r="E49" s="21"/>
      <c r="F49" s="21"/>
    </row>
    <row r="50" spans="1:6" ht="63" x14ac:dyDescent="0.25">
      <c r="A50" s="12">
        <v>8.1</v>
      </c>
      <c r="B50" s="19" t="s">
        <v>151</v>
      </c>
      <c r="C50" s="14">
        <v>43</v>
      </c>
      <c r="D50" s="12" t="s">
        <v>28</v>
      </c>
      <c r="E50" s="21">
        <f>(35*C50)/60</f>
        <v>25.083333333333332</v>
      </c>
      <c r="F50" s="21">
        <f>E50*C50</f>
        <v>1078.5833333333333</v>
      </c>
    </row>
    <row r="51" spans="1:6" x14ac:dyDescent="0.25">
      <c r="A51" s="12">
        <v>9</v>
      </c>
      <c r="B51" s="13" t="s">
        <v>51</v>
      </c>
      <c r="C51" s="14"/>
      <c r="D51" s="12"/>
      <c r="E51" s="15"/>
      <c r="F51" s="16"/>
    </row>
    <row r="52" spans="1:6" x14ac:dyDescent="0.25">
      <c r="A52" s="12"/>
      <c r="B52" s="19" t="s">
        <v>52</v>
      </c>
      <c r="C52" s="14">
        <v>1</v>
      </c>
      <c r="D52" s="12" t="s">
        <v>28</v>
      </c>
      <c r="E52" s="21">
        <v>14300</v>
      </c>
      <c r="F52" s="21">
        <f>C52*E52</f>
        <v>14300</v>
      </c>
    </row>
    <row r="53" spans="1:6" x14ac:dyDescent="0.25">
      <c r="A53" s="12">
        <v>9.1</v>
      </c>
      <c r="B53" s="19" t="s">
        <v>160</v>
      </c>
      <c r="C53" s="14"/>
      <c r="D53" s="12"/>
      <c r="E53" s="21"/>
      <c r="F53" s="21"/>
    </row>
    <row r="54" spans="1:6" x14ac:dyDescent="0.25">
      <c r="A54" s="12">
        <v>9.1999999999999993</v>
      </c>
      <c r="B54" s="19" t="s">
        <v>161</v>
      </c>
      <c r="C54" s="14"/>
      <c r="D54" s="12"/>
      <c r="E54" s="21"/>
      <c r="F54" s="21"/>
    </row>
    <row r="55" spans="1:6" x14ac:dyDescent="0.25">
      <c r="A55" s="12">
        <v>9.3000000000000007</v>
      </c>
      <c r="B55" s="19" t="s">
        <v>172</v>
      </c>
      <c r="C55" s="14"/>
      <c r="D55" s="12"/>
      <c r="E55" s="21"/>
      <c r="F55" s="21"/>
    </row>
    <row r="56" spans="1:6" x14ac:dyDescent="0.25">
      <c r="A56" s="12">
        <v>10</v>
      </c>
      <c r="B56" s="26" t="s">
        <v>53</v>
      </c>
      <c r="C56" s="14"/>
      <c r="D56" s="12"/>
      <c r="E56" s="15"/>
      <c r="F56" s="16"/>
    </row>
    <row r="57" spans="1:6" ht="47.25" x14ac:dyDescent="0.25">
      <c r="A57" s="12">
        <v>10.1</v>
      </c>
      <c r="B57" s="19" t="s">
        <v>54</v>
      </c>
      <c r="C57" s="14">
        <v>1</v>
      </c>
      <c r="D57" s="12" t="s">
        <v>28</v>
      </c>
      <c r="E57" s="21">
        <f>((10*9500+5000+45000*2*1.54)*1.3)/510</f>
        <v>608.1960784313726</v>
      </c>
      <c r="F57" s="21">
        <f>C57*E57</f>
        <v>608.1960784313726</v>
      </c>
    </row>
    <row r="58" spans="1:6" ht="31.5" x14ac:dyDescent="0.25">
      <c r="A58" s="12">
        <v>10.199999999999999</v>
      </c>
      <c r="B58" s="19" t="s">
        <v>55</v>
      </c>
      <c r="C58" s="27">
        <v>30</v>
      </c>
      <c r="D58" s="12" t="s">
        <v>56</v>
      </c>
      <c r="E58" s="21">
        <v>7.5</v>
      </c>
      <c r="F58" s="21">
        <f>C58*E58</f>
        <v>225</v>
      </c>
    </row>
    <row r="59" spans="1:6" ht="31.5" x14ac:dyDescent="0.25">
      <c r="A59" s="12">
        <v>10.3</v>
      </c>
      <c r="B59" s="19" t="s">
        <v>57</v>
      </c>
      <c r="C59" s="14">
        <v>1</v>
      </c>
      <c r="D59" s="12" t="s">
        <v>28</v>
      </c>
      <c r="E59" s="21">
        <f>((50000+5000+45000*1.54)*1.3)/510+0.16</f>
        <v>317.00313725490196</v>
      </c>
      <c r="F59" s="21">
        <f>C59*E59</f>
        <v>317.00313725490196</v>
      </c>
    </row>
    <row r="60" spans="1:6" x14ac:dyDescent="0.25">
      <c r="A60" s="12">
        <v>10.4</v>
      </c>
      <c r="B60" s="19" t="s">
        <v>58</v>
      </c>
      <c r="C60" s="14"/>
      <c r="D60" s="12"/>
      <c r="E60" s="21"/>
      <c r="F60" s="21"/>
    </row>
    <row r="61" spans="1:6" x14ac:dyDescent="0.25">
      <c r="A61" s="12">
        <v>11</v>
      </c>
      <c r="B61" s="26" t="s">
        <v>59</v>
      </c>
      <c r="C61" s="14"/>
      <c r="D61" s="12"/>
      <c r="E61" s="15"/>
      <c r="F61" s="16"/>
    </row>
    <row r="62" spans="1:6" ht="63" x14ac:dyDescent="0.25">
      <c r="A62" s="12">
        <v>11.1</v>
      </c>
      <c r="B62" s="19" t="s">
        <v>151</v>
      </c>
      <c r="C62" s="14">
        <v>14</v>
      </c>
      <c r="D62" s="12" t="s">
        <v>28</v>
      </c>
      <c r="E62" s="21">
        <f>E42</f>
        <v>438.45</v>
      </c>
      <c r="F62" s="21">
        <f>E62*C62</f>
        <v>6138.3</v>
      </c>
    </row>
    <row r="63" spans="1:6" x14ac:dyDescent="0.25">
      <c r="A63" s="12">
        <v>11.2</v>
      </c>
      <c r="B63" s="19" t="s">
        <v>60</v>
      </c>
      <c r="C63" s="14">
        <v>14</v>
      </c>
      <c r="D63" s="12" t="s">
        <v>28</v>
      </c>
      <c r="E63" s="21">
        <v>14.71</v>
      </c>
      <c r="F63" s="21">
        <f>+E63*C63</f>
        <v>205.94</v>
      </c>
    </row>
    <row r="64" spans="1:6" x14ac:dyDescent="0.25">
      <c r="A64" s="12">
        <v>11.3</v>
      </c>
      <c r="B64" s="19" t="s">
        <v>46</v>
      </c>
      <c r="C64" s="14">
        <v>14</v>
      </c>
      <c r="D64" s="12" t="s">
        <v>28</v>
      </c>
      <c r="E64" s="21">
        <v>20</v>
      </c>
      <c r="F64" s="21">
        <f>+E64*C64</f>
        <v>280</v>
      </c>
    </row>
    <row r="65" spans="1:6" x14ac:dyDescent="0.25">
      <c r="A65" s="12">
        <v>11.4</v>
      </c>
      <c r="B65" s="19" t="s">
        <v>47</v>
      </c>
      <c r="C65" s="14">
        <v>14</v>
      </c>
      <c r="D65" s="12" t="s">
        <v>28</v>
      </c>
      <c r="E65" s="21">
        <v>15</v>
      </c>
      <c r="F65" s="21">
        <f>+E65*C65</f>
        <v>210</v>
      </c>
    </row>
    <row r="66" spans="1:6" x14ac:dyDescent="0.25">
      <c r="A66" s="12">
        <v>11.5</v>
      </c>
      <c r="B66" s="19" t="s">
        <v>48</v>
      </c>
      <c r="C66" s="14">
        <v>14</v>
      </c>
      <c r="D66" s="12" t="s">
        <v>28</v>
      </c>
      <c r="E66" s="21">
        <v>65</v>
      </c>
      <c r="F66" s="21">
        <f>+E66*C66</f>
        <v>910</v>
      </c>
    </row>
    <row r="67" spans="1:6" x14ac:dyDescent="0.25">
      <c r="A67" s="12" t="s">
        <v>61</v>
      </c>
      <c r="B67" s="19" t="s">
        <v>62</v>
      </c>
      <c r="C67" s="14"/>
      <c r="D67" s="12"/>
      <c r="E67" s="21"/>
      <c r="F67" s="21"/>
    </row>
    <row r="68" spans="1:6" ht="24.6" customHeight="1" x14ac:dyDescent="0.25">
      <c r="A68" s="12">
        <v>12</v>
      </c>
      <c r="B68" s="28" t="s">
        <v>63</v>
      </c>
      <c r="C68" s="14"/>
      <c r="D68" s="12"/>
      <c r="E68" s="15"/>
      <c r="F68" s="16">
        <f t="shared" ref="F68" si="4">C68*E68</f>
        <v>0</v>
      </c>
    </row>
    <row r="69" spans="1:6" ht="63" x14ac:dyDescent="0.25">
      <c r="A69" s="12">
        <v>12.1</v>
      </c>
      <c r="B69" s="19" t="s">
        <v>151</v>
      </c>
      <c r="C69" s="14">
        <v>7</v>
      </c>
      <c r="D69" s="12" t="s">
        <v>28</v>
      </c>
      <c r="E69" s="21">
        <f>E62</f>
        <v>438.45</v>
      </c>
      <c r="F69" s="21">
        <f>E69*C69</f>
        <v>3069.15</v>
      </c>
    </row>
    <row r="70" spans="1:6" x14ac:dyDescent="0.25">
      <c r="A70" s="12">
        <v>12.2</v>
      </c>
      <c r="B70" s="19" t="s">
        <v>64</v>
      </c>
      <c r="C70" s="14">
        <v>7</v>
      </c>
      <c r="D70" s="12" t="s">
        <v>28</v>
      </c>
      <c r="E70" s="21">
        <f>E38</f>
        <v>547.69000000000005</v>
      </c>
      <c r="F70" s="21">
        <f>C70*E70</f>
        <v>3833.8300000000004</v>
      </c>
    </row>
    <row r="71" spans="1:6" x14ac:dyDescent="0.25">
      <c r="A71" s="12">
        <v>12.3</v>
      </c>
      <c r="B71" s="19" t="s">
        <v>60</v>
      </c>
      <c r="C71" s="14">
        <v>7</v>
      </c>
      <c r="D71" s="12" t="s">
        <v>28</v>
      </c>
      <c r="E71" s="21">
        <v>14.71</v>
      </c>
      <c r="F71" s="21">
        <f>+E71*C71</f>
        <v>102.97</v>
      </c>
    </row>
    <row r="72" spans="1:6" x14ac:dyDescent="0.25">
      <c r="A72" s="12">
        <v>12.4</v>
      </c>
      <c r="B72" s="19" t="s">
        <v>46</v>
      </c>
      <c r="C72" s="29">
        <v>7</v>
      </c>
      <c r="D72" s="12" t="s">
        <v>28</v>
      </c>
      <c r="E72" s="21">
        <v>20</v>
      </c>
      <c r="F72" s="21">
        <f>+E72*C72</f>
        <v>140</v>
      </c>
    </row>
    <row r="73" spans="1:6" x14ac:dyDescent="0.25">
      <c r="A73" s="12">
        <v>12.5</v>
      </c>
      <c r="B73" s="19" t="s">
        <v>47</v>
      </c>
      <c r="C73" s="14">
        <v>7</v>
      </c>
      <c r="D73" s="12" t="s">
        <v>28</v>
      </c>
      <c r="E73" s="21">
        <v>15</v>
      </c>
      <c r="F73" s="21">
        <f>+E73*C73</f>
        <v>105</v>
      </c>
    </row>
    <row r="74" spans="1:6" x14ac:dyDescent="0.25">
      <c r="A74" s="12">
        <v>12.6</v>
      </c>
      <c r="B74" s="19" t="s">
        <v>48</v>
      </c>
      <c r="C74" s="14">
        <v>7</v>
      </c>
      <c r="D74" s="12" t="s">
        <v>28</v>
      </c>
      <c r="E74" s="21">
        <v>65</v>
      </c>
      <c r="F74" s="21">
        <f>+E74*C74</f>
        <v>455</v>
      </c>
    </row>
    <row r="75" spans="1:6" x14ac:dyDescent="0.25">
      <c r="A75" s="12">
        <v>13</v>
      </c>
      <c r="B75" s="28" t="s">
        <v>65</v>
      </c>
      <c r="C75" s="29"/>
      <c r="D75" s="12"/>
      <c r="E75" s="15"/>
      <c r="F75" s="16">
        <f t="shared" ref="F75" si="5">C75*E75</f>
        <v>0</v>
      </c>
    </row>
    <row r="76" spans="1:6" ht="47.25" x14ac:dyDescent="0.25">
      <c r="A76" s="12"/>
      <c r="B76" s="19" t="s">
        <v>66</v>
      </c>
      <c r="C76" s="29"/>
      <c r="D76" s="12"/>
      <c r="E76" s="15"/>
      <c r="F76" s="16"/>
    </row>
    <row r="77" spans="1:6" ht="31.5" x14ac:dyDescent="0.25">
      <c r="A77" s="12">
        <v>13.1</v>
      </c>
      <c r="B77" s="19" t="s">
        <v>67</v>
      </c>
      <c r="C77" s="29">
        <v>279</v>
      </c>
      <c r="D77" s="12" t="s">
        <v>68</v>
      </c>
      <c r="E77" s="21">
        <v>14.68</v>
      </c>
      <c r="F77" s="21">
        <f>C77*E77</f>
        <v>4095.72</v>
      </c>
    </row>
    <row r="78" spans="1:6" ht="31.5" x14ac:dyDescent="0.25">
      <c r="A78" s="12">
        <v>13.2</v>
      </c>
      <c r="B78" s="19" t="s">
        <v>69</v>
      </c>
      <c r="C78" s="29">
        <v>22</v>
      </c>
      <c r="D78" s="12" t="s">
        <v>28</v>
      </c>
      <c r="E78" s="21">
        <f>F78/C78</f>
        <v>195.27863636363637</v>
      </c>
      <c r="F78" s="21">
        <v>4296.13</v>
      </c>
    </row>
    <row r="79" spans="1:6" x14ac:dyDescent="0.25">
      <c r="A79" s="12">
        <v>13.3</v>
      </c>
      <c r="B79" s="19" t="s">
        <v>70</v>
      </c>
      <c r="C79" s="29" t="s">
        <v>35</v>
      </c>
      <c r="D79" s="12"/>
      <c r="E79" s="21"/>
      <c r="F79" s="21"/>
    </row>
    <row r="80" spans="1:6" x14ac:dyDescent="0.25">
      <c r="A80" s="12">
        <v>13.4</v>
      </c>
      <c r="B80" s="19" t="s">
        <v>71</v>
      </c>
      <c r="C80" s="29">
        <v>22</v>
      </c>
      <c r="D80" s="12" t="s">
        <v>28</v>
      </c>
      <c r="E80" s="21">
        <f>169.41*1.13/22</f>
        <v>8.7015136363636358</v>
      </c>
      <c r="F80" s="21">
        <f>C80*E80</f>
        <v>191.43329999999997</v>
      </c>
    </row>
    <row r="81" spans="1:6" x14ac:dyDescent="0.25">
      <c r="A81" s="12">
        <v>14</v>
      </c>
      <c r="B81" s="28" t="s">
        <v>72</v>
      </c>
      <c r="C81" s="29"/>
      <c r="D81" s="12"/>
      <c r="E81" s="15"/>
      <c r="F81" s="16"/>
    </row>
    <row r="82" spans="1:6" ht="31.5" x14ac:dyDescent="0.25">
      <c r="A82" s="12">
        <v>14.1</v>
      </c>
      <c r="B82" s="19" t="s">
        <v>73</v>
      </c>
      <c r="C82" s="29">
        <f>92+21+C50</f>
        <v>156</v>
      </c>
      <c r="D82" s="12" t="s">
        <v>28</v>
      </c>
      <c r="E82" s="21">
        <v>5</v>
      </c>
      <c r="F82" s="21">
        <f>C82*E82</f>
        <v>780</v>
      </c>
    </row>
    <row r="83" spans="1:6" x14ac:dyDescent="0.25">
      <c r="A83" s="12">
        <v>15</v>
      </c>
      <c r="B83" s="28" t="s">
        <v>74</v>
      </c>
      <c r="C83" s="29"/>
      <c r="D83" s="12"/>
      <c r="E83" s="21"/>
      <c r="F83" s="21"/>
    </row>
    <row r="84" spans="1:6" x14ac:dyDescent="0.25">
      <c r="A84" s="12">
        <v>15.1</v>
      </c>
      <c r="B84" s="19" t="s">
        <v>75</v>
      </c>
      <c r="C84" s="29">
        <f>6*6</f>
        <v>36</v>
      </c>
      <c r="D84" s="12" t="s">
        <v>56</v>
      </c>
      <c r="E84" s="21">
        <f>(45000*1.52*1.3)/510</f>
        <v>174.35294117647058</v>
      </c>
      <c r="F84" s="21">
        <f>E84</f>
        <v>174.35294117647058</v>
      </c>
    </row>
    <row r="85" spans="1:6" x14ac:dyDescent="0.25">
      <c r="A85" s="12">
        <v>15.2</v>
      </c>
      <c r="B85" s="19" t="s">
        <v>154</v>
      </c>
      <c r="C85" s="29">
        <f>6*6</f>
        <v>36</v>
      </c>
      <c r="D85" s="12" t="s">
        <v>56</v>
      </c>
      <c r="E85" s="21">
        <f>(5*8700*1.5*1.3+20*8000)/510</f>
        <v>480.04901960784315</v>
      </c>
      <c r="F85" s="21">
        <f t="shared" ref="F85:F90" si="6">E85</f>
        <v>480.04901960784315</v>
      </c>
    </row>
    <row r="86" spans="1:6" x14ac:dyDescent="0.25">
      <c r="A86" s="12">
        <v>15.3</v>
      </c>
      <c r="B86" s="19" t="s">
        <v>155</v>
      </c>
      <c r="C86" s="29">
        <f>6*6</f>
        <v>36</v>
      </c>
      <c r="D86" s="12" t="s">
        <v>56</v>
      </c>
      <c r="E86" s="21">
        <f>(45000*1.52*1.3)/510</f>
        <v>174.35294117647058</v>
      </c>
      <c r="F86" s="21">
        <f t="shared" si="6"/>
        <v>174.35294117647058</v>
      </c>
    </row>
    <row r="87" spans="1:6" x14ac:dyDescent="0.25">
      <c r="A87" s="12">
        <v>15.4</v>
      </c>
      <c r="B87" s="19" t="s">
        <v>156</v>
      </c>
      <c r="C87" s="29">
        <f>6*6</f>
        <v>36</v>
      </c>
      <c r="D87" s="12" t="s">
        <v>56</v>
      </c>
      <c r="E87" s="21">
        <f>(5*7560*1.5*1.3+20*8000)/510</f>
        <v>458.25490196078431</v>
      </c>
      <c r="F87" s="21">
        <f t="shared" si="6"/>
        <v>458.25490196078431</v>
      </c>
    </row>
    <row r="88" spans="1:6" x14ac:dyDescent="0.25">
      <c r="A88" s="12">
        <v>16</v>
      </c>
      <c r="B88" s="28" t="s">
        <v>77</v>
      </c>
      <c r="C88" s="29"/>
      <c r="D88" s="12"/>
      <c r="E88" s="15"/>
      <c r="F88" s="16"/>
    </row>
    <row r="89" spans="1:6" x14ac:dyDescent="0.25">
      <c r="A89" s="12">
        <v>16.100000000000001</v>
      </c>
      <c r="B89" s="19" t="s">
        <v>78</v>
      </c>
      <c r="C89" s="29">
        <f>6*6</f>
        <v>36</v>
      </c>
      <c r="D89" s="12" t="s">
        <v>56</v>
      </c>
      <c r="E89" s="21">
        <f>(45000*1.52*1.3)/510</f>
        <v>174.35294117647058</v>
      </c>
      <c r="F89" s="21">
        <f t="shared" si="6"/>
        <v>174.35294117647058</v>
      </c>
    </row>
    <row r="90" spans="1:6" x14ac:dyDescent="0.25">
      <c r="A90" s="12">
        <v>16.2</v>
      </c>
      <c r="B90" s="19" t="s">
        <v>157</v>
      </c>
      <c r="C90" s="29">
        <f>6*6</f>
        <v>36</v>
      </c>
      <c r="D90" s="12" t="s">
        <v>56</v>
      </c>
      <c r="E90" s="21">
        <f>(5*13300*1.8*1.3+20*8000)/510</f>
        <v>618.84313725490199</v>
      </c>
      <c r="F90" s="21">
        <f t="shared" si="6"/>
        <v>618.84313725490199</v>
      </c>
    </row>
    <row r="91" spans="1:6" x14ac:dyDescent="0.25">
      <c r="A91" s="12"/>
      <c r="B91" s="19"/>
      <c r="C91" s="29"/>
      <c r="D91" s="12"/>
      <c r="E91" s="15"/>
      <c r="F91" s="16"/>
    </row>
    <row r="92" spans="1:6" x14ac:dyDescent="0.25">
      <c r="A92" s="12"/>
      <c r="B92" s="19"/>
      <c r="C92" s="29"/>
      <c r="D92" s="12"/>
      <c r="E92" s="15"/>
      <c r="F92" s="16"/>
    </row>
    <row r="93" spans="1:6" x14ac:dyDescent="0.25">
      <c r="A93" s="54" t="s">
        <v>79</v>
      </c>
      <c r="B93" s="55"/>
      <c r="C93" s="55"/>
      <c r="D93" s="55"/>
      <c r="E93" s="56"/>
      <c r="F93" s="30">
        <f>SUM(F13:F92)</f>
        <v>78774.652930186086</v>
      </c>
    </row>
    <row r="94" spans="1:6" x14ac:dyDescent="0.25">
      <c r="A94" s="63"/>
      <c r="B94" s="63"/>
      <c r="C94" s="63"/>
      <c r="D94" s="63"/>
      <c r="E94" s="63"/>
      <c r="F94" s="63"/>
    </row>
    <row r="95" spans="1:6" ht="18.75" x14ac:dyDescent="0.25">
      <c r="A95" s="64" t="s">
        <v>80</v>
      </c>
      <c r="B95" s="64"/>
      <c r="C95" s="64"/>
      <c r="D95" s="64"/>
      <c r="E95" s="64"/>
      <c r="F95" s="64"/>
    </row>
    <row r="96" spans="1:6" x14ac:dyDescent="0.25">
      <c r="A96" s="52" t="s">
        <v>81</v>
      </c>
      <c r="B96" s="52"/>
      <c r="C96" s="52"/>
      <c r="D96" s="52"/>
      <c r="E96" s="52"/>
      <c r="F96" s="52"/>
    </row>
    <row r="97" spans="1:6" x14ac:dyDescent="0.25">
      <c r="A97" s="9" t="s">
        <v>7</v>
      </c>
      <c r="B97" s="9" t="s">
        <v>8</v>
      </c>
      <c r="C97" s="10" t="s">
        <v>9</v>
      </c>
      <c r="D97" s="9" t="s">
        <v>10</v>
      </c>
      <c r="E97" s="11" t="s">
        <v>11</v>
      </c>
      <c r="F97" s="11" t="s">
        <v>12</v>
      </c>
    </row>
    <row r="98" spans="1:6" ht="32.25" customHeight="1" x14ac:dyDescent="0.25">
      <c r="A98" s="12">
        <v>1</v>
      </c>
      <c r="B98" s="13" t="s">
        <v>82</v>
      </c>
      <c r="C98" s="25"/>
      <c r="D98" s="12"/>
      <c r="E98" s="15"/>
      <c r="F98" s="16"/>
    </row>
    <row r="99" spans="1:6" ht="63" x14ac:dyDescent="0.25">
      <c r="A99" s="12">
        <v>1.1000000000000001</v>
      </c>
      <c r="B99" s="17" t="s">
        <v>83</v>
      </c>
      <c r="C99" s="25"/>
      <c r="D99" s="12"/>
      <c r="E99" s="15"/>
      <c r="F99" s="16"/>
    </row>
    <row r="100" spans="1:6" ht="78.75" x14ac:dyDescent="0.25">
      <c r="A100" s="12">
        <v>1.2</v>
      </c>
      <c r="B100" s="17" t="s">
        <v>84</v>
      </c>
      <c r="C100" s="25">
        <v>6</v>
      </c>
      <c r="D100" s="12" t="s">
        <v>28</v>
      </c>
      <c r="E100" s="21">
        <v>400</v>
      </c>
      <c r="F100" s="21">
        <f t="shared" ref="F100:F101" si="7">E100*C100</f>
        <v>2400</v>
      </c>
    </row>
    <row r="101" spans="1:6" x14ac:dyDescent="0.25">
      <c r="A101" s="12">
        <v>1.4</v>
      </c>
      <c r="B101" s="17" t="s">
        <v>167</v>
      </c>
      <c r="C101" s="25">
        <f>9</f>
        <v>9</v>
      </c>
      <c r="D101" s="12" t="s">
        <v>28</v>
      </c>
      <c r="E101" s="21">
        <f>(52000*1.3+10*10000*1.52*1.3)/510</f>
        <v>520</v>
      </c>
      <c r="F101" s="21">
        <f t="shared" si="7"/>
        <v>4680</v>
      </c>
    </row>
    <row r="102" spans="1:6" x14ac:dyDescent="0.25">
      <c r="A102" s="12">
        <v>1.5</v>
      </c>
      <c r="B102" s="17" t="s">
        <v>168</v>
      </c>
      <c r="C102" s="25">
        <f>9</f>
        <v>9</v>
      </c>
      <c r="D102" s="12" t="s">
        <v>28</v>
      </c>
      <c r="E102" s="21">
        <f>(10000*1.3+10*5000*1.52*1.3)/510</f>
        <v>219.21568627450981</v>
      </c>
      <c r="F102" s="21">
        <f t="shared" ref="F102" si="8">E102*C102</f>
        <v>1972.9411764705883</v>
      </c>
    </row>
    <row r="103" spans="1:6" x14ac:dyDescent="0.25">
      <c r="A103" s="12">
        <v>2</v>
      </c>
      <c r="B103" s="13" t="s">
        <v>85</v>
      </c>
      <c r="C103" s="25"/>
      <c r="D103" s="12"/>
      <c r="E103" s="15"/>
      <c r="F103" s="21"/>
    </row>
    <row r="104" spans="1:6" x14ac:dyDescent="0.25">
      <c r="A104" s="12">
        <v>2.1</v>
      </c>
      <c r="B104" s="17" t="s">
        <v>166</v>
      </c>
      <c r="C104" s="25">
        <v>4</v>
      </c>
      <c r="D104" s="12" t="s">
        <v>28</v>
      </c>
      <c r="E104" s="21">
        <f>140</f>
        <v>140</v>
      </c>
      <c r="F104" s="21">
        <f>C104*E104</f>
        <v>560</v>
      </c>
    </row>
    <row r="105" spans="1:6" x14ac:dyDescent="0.25">
      <c r="A105" s="12">
        <v>2.2000000000000002</v>
      </c>
      <c r="B105" s="17" t="s">
        <v>169</v>
      </c>
      <c r="C105" s="25">
        <v>2</v>
      </c>
      <c r="D105" s="12" t="s">
        <v>28</v>
      </c>
      <c r="E105" s="21">
        <f>728*1.13*1.3</f>
        <v>1069.4319999999998</v>
      </c>
      <c r="F105" s="21">
        <f>C105*E105</f>
        <v>2138.8639999999996</v>
      </c>
    </row>
    <row r="106" spans="1:6" x14ac:dyDescent="0.25">
      <c r="A106" s="12">
        <v>2.2999999999999998</v>
      </c>
      <c r="B106" s="17" t="s">
        <v>170</v>
      </c>
      <c r="C106" s="25">
        <v>1</v>
      </c>
      <c r="D106" s="12" t="s">
        <v>28</v>
      </c>
      <c r="E106" s="21">
        <f>481*1.13*1.3</f>
        <v>706.58899999999994</v>
      </c>
      <c r="F106" s="21">
        <f>C106*E106</f>
        <v>706.58899999999994</v>
      </c>
    </row>
    <row r="107" spans="1:6" x14ac:dyDescent="0.25">
      <c r="A107" s="12">
        <v>2.4</v>
      </c>
      <c r="B107" s="17" t="s">
        <v>171</v>
      </c>
      <c r="C107" s="25">
        <v>4</v>
      </c>
      <c r="D107" s="12" t="s">
        <v>28</v>
      </c>
      <c r="E107" s="21">
        <f>(707+200)*1.13*1.3</f>
        <v>1332.3829999999998</v>
      </c>
      <c r="F107" s="21">
        <f>C107*E107</f>
        <v>5329.5319999999992</v>
      </c>
    </row>
    <row r="108" spans="1:6" x14ac:dyDescent="0.25">
      <c r="A108" s="12"/>
      <c r="B108" s="17"/>
      <c r="C108" s="25"/>
      <c r="D108" s="12"/>
      <c r="E108" s="15"/>
      <c r="F108" s="21"/>
    </row>
    <row r="109" spans="1:6" x14ac:dyDescent="0.25">
      <c r="A109" s="12"/>
      <c r="B109" s="17"/>
      <c r="C109" s="25"/>
      <c r="D109" s="12"/>
      <c r="E109" s="15"/>
      <c r="F109" s="21"/>
    </row>
    <row r="110" spans="1:6" ht="35.25" customHeight="1" x14ac:dyDescent="0.25">
      <c r="A110" s="12">
        <v>3</v>
      </c>
      <c r="B110" s="13" t="s">
        <v>87</v>
      </c>
      <c r="C110" s="14"/>
      <c r="D110" s="12"/>
      <c r="E110" s="15"/>
      <c r="F110" s="16">
        <f t="shared" ref="F110" si="9">C110*E110</f>
        <v>0</v>
      </c>
    </row>
    <row r="111" spans="1:6" ht="63" x14ac:dyDescent="0.25">
      <c r="A111" s="12"/>
      <c r="B111" s="17" t="s">
        <v>88</v>
      </c>
      <c r="C111" s="14"/>
      <c r="D111" s="12"/>
      <c r="E111" s="15"/>
      <c r="F111" s="16"/>
    </row>
    <row r="112" spans="1:6" x14ac:dyDescent="0.25">
      <c r="A112" s="12" t="s">
        <v>20</v>
      </c>
      <c r="B112" s="17" t="s">
        <v>174</v>
      </c>
      <c r="C112" s="14">
        <v>1</v>
      </c>
      <c r="D112" s="12"/>
      <c r="E112" s="21">
        <v>17650</v>
      </c>
      <c r="F112" s="21">
        <f t="shared" ref="F112" si="10">C112*E112</f>
        <v>17650</v>
      </c>
    </row>
    <row r="113" spans="1:7" x14ac:dyDescent="0.25">
      <c r="A113" s="12">
        <v>2.1</v>
      </c>
      <c r="B113" s="19" t="s">
        <v>22</v>
      </c>
      <c r="C113" s="14"/>
      <c r="D113" s="12"/>
      <c r="E113" s="18"/>
      <c r="F113" s="20"/>
    </row>
    <row r="114" spans="1:7" x14ac:dyDescent="0.25">
      <c r="A114" s="12">
        <v>2.2000000000000002</v>
      </c>
      <c r="B114" s="19" t="s">
        <v>23</v>
      </c>
      <c r="C114" s="14"/>
      <c r="D114" s="12"/>
      <c r="E114" s="18"/>
      <c r="F114" s="20"/>
    </row>
    <row r="115" spans="1:7" x14ac:dyDescent="0.25">
      <c r="A115" s="12">
        <v>2.2999999999999998</v>
      </c>
      <c r="B115" s="19" t="s">
        <v>24</v>
      </c>
      <c r="C115" s="14"/>
      <c r="D115" s="12"/>
      <c r="E115" s="18"/>
      <c r="F115" s="20"/>
    </row>
    <row r="116" spans="1:7" x14ac:dyDescent="0.25">
      <c r="A116" s="12">
        <v>2.4</v>
      </c>
      <c r="B116" s="19" t="s">
        <v>175</v>
      </c>
      <c r="C116" s="14"/>
      <c r="D116" s="12"/>
      <c r="E116" s="18"/>
      <c r="F116" s="20"/>
    </row>
    <row r="117" spans="1:7" x14ac:dyDescent="0.25">
      <c r="A117" s="12">
        <v>4</v>
      </c>
      <c r="B117" s="13" t="s">
        <v>26</v>
      </c>
      <c r="C117" s="14"/>
      <c r="D117" s="12"/>
      <c r="E117" s="15"/>
      <c r="F117" s="16">
        <f t="shared" ref="F117:F125" si="11">C117*E117</f>
        <v>0</v>
      </c>
    </row>
    <row r="118" spans="1:7" ht="189" x14ac:dyDescent="0.25">
      <c r="A118" s="12">
        <v>4.0999999999999996</v>
      </c>
      <c r="B118" s="19" t="s">
        <v>27</v>
      </c>
      <c r="C118" s="14" t="s">
        <v>35</v>
      </c>
      <c r="D118" s="12" t="s">
        <v>28</v>
      </c>
      <c r="E118" s="21">
        <v>0</v>
      </c>
      <c r="F118" s="21">
        <v>0</v>
      </c>
      <c r="G118" s="39"/>
    </row>
    <row r="119" spans="1:7" x14ac:dyDescent="0.25">
      <c r="A119" s="12">
        <v>4.2</v>
      </c>
      <c r="B119" s="23" t="s">
        <v>89</v>
      </c>
      <c r="C119" s="25">
        <f>23+20+29+7+24+33</f>
        <v>136</v>
      </c>
      <c r="D119" s="12" t="s">
        <v>28</v>
      </c>
      <c r="E119" s="21">
        <v>4.5</v>
      </c>
      <c r="F119" s="18">
        <f t="shared" si="11"/>
        <v>612</v>
      </c>
    </row>
    <row r="120" spans="1:7" ht="47.25" x14ac:dyDescent="0.25">
      <c r="A120" s="12">
        <v>4.3</v>
      </c>
      <c r="B120" s="23" t="s">
        <v>90</v>
      </c>
      <c r="C120" s="14">
        <f>56-C121</f>
        <v>50</v>
      </c>
      <c r="D120" s="12" t="s">
        <v>28</v>
      </c>
      <c r="E120" s="21">
        <f>(80+(2500*0.75*1.54/510))*1.2</f>
        <v>102.79411764705881</v>
      </c>
      <c r="F120" s="21">
        <f t="shared" si="11"/>
        <v>5139.7058823529405</v>
      </c>
    </row>
    <row r="121" spans="1:7" ht="47.25" x14ac:dyDescent="0.25">
      <c r="A121" s="12">
        <v>4.4000000000000004</v>
      </c>
      <c r="B121" s="23" t="s">
        <v>91</v>
      </c>
      <c r="C121" s="14">
        <v>6</v>
      </c>
      <c r="D121" s="12" t="s">
        <v>28</v>
      </c>
      <c r="E121" s="21">
        <f>(169.5+(2500*0.75*1.54/510))*1.2</f>
        <v>210.19411764705882</v>
      </c>
      <c r="F121" s="21">
        <f t="shared" si="11"/>
        <v>1261.1647058823528</v>
      </c>
    </row>
    <row r="122" spans="1:7" ht="47.25" x14ac:dyDescent="0.25">
      <c r="A122" s="12">
        <v>4.5</v>
      </c>
      <c r="B122" s="19" t="s">
        <v>32</v>
      </c>
      <c r="C122" s="14">
        <v>14</v>
      </c>
      <c r="D122" s="12" t="s">
        <v>28</v>
      </c>
      <c r="E122" s="21">
        <f>(130+(2500*0.75*1.54/510))*1.2</f>
        <v>162.79411764705881</v>
      </c>
      <c r="F122" s="21">
        <f t="shared" si="11"/>
        <v>2279.1176470588234</v>
      </c>
    </row>
    <row r="123" spans="1:7" ht="47.25" x14ac:dyDescent="0.25">
      <c r="A123" s="12">
        <v>4.5999999999999996</v>
      </c>
      <c r="B123" s="19" t="s">
        <v>33</v>
      </c>
      <c r="C123" s="14">
        <v>22</v>
      </c>
      <c r="D123" s="12" t="s">
        <v>28</v>
      </c>
      <c r="E123" s="21">
        <f>60+(2500*0.75*1.54/510)</f>
        <v>65.661764705882348</v>
      </c>
      <c r="F123" s="21">
        <f t="shared" si="11"/>
        <v>1444.5588235294117</v>
      </c>
    </row>
    <row r="124" spans="1:7" ht="47.25" x14ac:dyDescent="0.25">
      <c r="A124" s="12">
        <v>4.7</v>
      </c>
      <c r="B124" s="19" t="s">
        <v>34</v>
      </c>
      <c r="C124" s="25">
        <v>11</v>
      </c>
      <c r="D124" s="12" t="s">
        <v>28</v>
      </c>
      <c r="E124" s="21">
        <f>(45000*1.52*1.3)/510</f>
        <v>174.35294117647058</v>
      </c>
      <c r="F124" s="21">
        <f t="shared" si="11"/>
        <v>1917.8823529411764</v>
      </c>
    </row>
    <row r="125" spans="1:7" ht="78.75" x14ac:dyDescent="0.25">
      <c r="A125" s="12">
        <v>5</v>
      </c>
      <c r="B125" s="40" t="s">
        <v>92</v>
      </c>
      <c r="C125" s="25">
        <v>5</v>
      </c>
      <c r="D125" s="12" t="s">
        <v>28</v>
      </c>
      <c r="E125" s="21">
        <v>1690.86</v>
      </c>
      <c r="F125" s="21">
        <f t="shared" si="11"/>
        <v>8454.2999999999993</v>
      </c>
    </row>
    <row r="126" spans="1:7" ht="36" customHeight="1" x14ac:dyDescent="0.25">
      <c r="A126" s="12">
        <v>6</v>
      </c>
      <c r="B126" s="13" t="s">
        <v>37</v>
      </c>
      <c r="C126" s="14"/>
      <c r="D126" s="12"/>
      <c r="E126" s="21"/>
      <c r="F126" s="16"/>
    </row>
    <row r="127" spans="1:7" ht="78.75" x14ac:dyDescent="0.25">
      <c r="A127" s="12">
        <v>6.1</v>
      </c>
      <c r="B127" s="17" t="s">
        <v>93</v>
      </c>
      <c r="C127" s="14" t="s">
        <v>35</v>
      </c>
      <c r="D127" s="12"/>
      <c r="E127" s="15"/>
      <c r="F127" s="16"/>
    </row>
    <row r="128" spans="1:7" ht="47.25" x14ac:dyDescent="0.25">
      <c r="A128" s="12">
        <v>6.2</v>
      </c>
      <c r="B128" s="19" t="s">
        <v>34</v>
      </c>
      <c r="C128" s="25">
        <f>27+2</f>
        <v>29</v>
      </c>
      <c r="D128" s="12" t="s">
        <v>28</v>
      </c>
      <c r="E128" s="21">
        <f>25.08*1.5</f>
        <v>37.619999999999997</v>
      </c>
      <c r="F128" s="21">
        <f>C128*E128</f>
        <v>1090.98</v>
      </c>
    </row>
    <row r="129" spans="1:6" x14ac:dyDescent="0.25">
      <c r="A129" s="12">
        <v>7</v>
      </c>
      <c r="B129" s="13" t="s">
        <v>39</v>
      </c>
      <c r="C129" s="14"/>
      <c r="D129" s="12"/>
      <c r="E129" s="21"/>
      <c r="F129" s="21"/>
    </row>
    <row r="130" spans="1:6" ht="63" x14ac:dyDescent="0.25">
      <c r="A130" s="12">
        <v>7.1</v>
      </c>
      <c r="B130" s="19" t="s">
        <v>95</v>
      </c>
      <c r="C130" s="25">
        <v>27</v>
      </c>
      <c r="D130" s="12" t="s">
        <v>28</v>
      </c>
      <c r="E130" s="21">
        <v>323.89999999999998</v>
      </c>
      <c r="F130" s="21">
        <f>E130*C130</f>
        <v>8745.2999999999993</v>
      </c>
    </row>
    <row r="131" spans="1:6" ht="78.75" x14ac:dyDescent="0.25">
      <c r="A131" s="12">
        <v>7.2</v>
      </c>
      <c r="B131" s="19" t="s">
        <v>96</v>
      </c>
      <c r="C131" s="25">
        <v>110</v>
      </c>
      <c r="D131" s="12" t="s">
        <v>28</v>
      </c>
      <c r="E131" s="21">
        <v>5</v>
      </c>
      <c r="F131" s="21">
        <f t="shared" ref="F131:F132" si="12">C131*E131</f>
        <v>550</v>
      </c>
    </row>
    <row r="132" spans="1:6" ht="94.5" x14ac:dyDescent="0.25">
      <c r="A132" s="12">
        <v>7.3</v>
      </c>
      <c r="B132" s="19" t="s">
        <v>42</v>
      </c>
      <c r="C132" s="14">
        <v>5</v>
      </c>
      <c r="D132" s="12" t="s">
        <v>28</v>
      </c>
      <c r="E132" s="21">
        <v>15</v>
      </c>
      <c r="F132" s="21">
        <f t="shared" si="12"/>
        <v>75</v>
      </c>
    </row>
    <row r="133" spans="1:6" ht="44.45" customHeight="1" x14ac:dyDescent="0.25">
      <c r="A133" s="12">
        <v>8</v>
      </c>
      <c r="B133" s="13" t="s">
        <v>43</v>
      </c>
      <c r="C133" s="14"/>
      <c r="D133" s="12"/>
      <c r="E133" s="21"/>
      <c r="F133" s="21"/>
    </row>
    <row r="134" spans="1:6" ht="63" x14ac:dyDescent="0.25">
      <c r="A134" s="12">
        <v>8.1</v>
      </c>
      <c r="B134" s="19" t="s">
        <v>152</v>
      </c>
      <c r="C134" s="25">
        <f>49+4+10</f>
        <v>63</v>
      </c>
      <c r="D134" s="12" t="s">
        <v>28</v>
      </c>
      <c r="E134" s="21">
        <v>210.5</v>
      </c>
      <c r="F134" s="21">
        <f>C134*E134</f>
        <v>13261.5</v>
      </c>
    </row>
    <row r="135" spans="1:6" x14ac:dyDescent="0.25">
      <c r="A135" s="12">
        <v>8.1999999999999993</v>
      </c>
      <c r="B135" s="19" t="s">
        <v>45</v>
      </c>
      <c r="C135" s="25">
        <f>C134</f>
        <v>63</v>
      </c>
      <c r="D135" s="12" t="s">
        <v>28</v>
      </c>
      <c r="E135" s="21">
        <f>7500/510</f>
        <v>14.705882352941176</v>
      </c>
      <c r="F135" s="21">
        <f>+E135*C135</f>
        <v>926.47058823529403</v>
      </c>
    </row>
    <row r="136" spans="1:6" x14ac:dyDescent="0.25">
      <c r="A136" s="12">
        <v>8.3000000000000007</v>
      </c>
      <c r="B136" s="19" t="s">
        <v>46</v>
      </c>
      <c r="C136" s="25">
        <f>C134</f>
        <v>63</v>
      </c>
      <c r="D136" s="12" t="s">
        <v>28</v>
      </c>
      <c r="E136" s="21">
        <v>20</v>
      </c>
      <c r="F136" s="21">
        <f t="shared" ref="F136:F138" si="13">+E136*C136</f>
        <v>1260</v>
      </c>
    </row>
    <row r="137" spans="1:6" x14ac:dyDescent="0.25">
      <c r="A137" s="12">
        <v>8.4</v>
      </c>
      <c r="B137" s="19" t="s">
        <v>47</v>
      </c>
      <c r="C137" s="25">
        <f>C134</f>
        <v>63</v>
      </c>
      <c r="D137" s="12" t="s">
        <v>28</v>
      </c>
      <c r="E137" s="21">
        <v>15</v>
      </c>
      <c r="F137" s="21">
        <f t="shared" si="13"/>
        <v>945</v>
      </c>
    </row>
    <row r="138" spans="1:6" x14ac:dyDescent="0.25">
      <c r="A138" s="12">
        <v>8.5</v>
      </c>
      <c r="B138" s="19" t="s">
        <v>48</v>
      </c>
      <c r="C138" s="25">
        <f>C134</f>
        <v>63</v>
      </c>
      <c r="D138" s="12" t="s">
        <v>28</v>
      </c>
      <c r="E138" s="21">
        <v>65</v>
      </c>
      <c r="F138" s="21">
        <f t="shared" si="13"/>
        <v>4095</v>
      </c>
    </row>
    <row r="139" spans="1:6" x14ac:dyDescent="0.25">
      <c r="A139" s="12">
        <v>9</v>
      </c>
      <c r="B139" s="13" t="s">
        <v>49</v>
      </c>
      <c r="C139" s="14"/>
      <c r="D139" s="12"/>
      <c r="E139" s="15"/>
      <c r="F139" s="16"/>
    </row>
    <row r="140" spans="1:6" ht="78.75" x14ac:dyDescent="0.25">
      <c r="A140" s="12">
        <v>9.1</v>
      </c>
      <c r="B140" s="19" t="s">
        <v>50</v>
      </c>
      <c r="C140" s="25">
        <v>43</v>
      </c>
      <c r="D140" s="12" t="s">
        <v>28</v>
      </c>
      <c r="E140" s="21">
        <v>25.08</v>
      </c>
      <c r="F140" s="21">
        <f>C140*E140</f>
        <v>1078.4399999999998</v>
      </c>
    </row>
    <row r="141" spans="1:6" ht="44.45" customHeight="1" x14ac:dyDescent="0.25">
      <c r="A141" s="12">
        <v>10</v>
      </c>
      <c r="B141" s="13" t="s">
        <v>51</v>
      </c>
      <c r="C141" s="14"/>
      <c r="D141" s="12"/>
      <c r="E141" s="15"/>
      <c r="F141" s="16"/>
    </row>
    <row r="142" spans="1:6" x14ac:dyDescent="0.25">
      <c r="A142" s="12">
        <v>10.1</v>
      </c>
      <c r="B142" s="19" t="s">
        <v>52</v>
      </c>
      <c r="C142" s="14">
        <v>1</v>
      </c>
      <c r="D142" s="12" t="s">
        <v>28</v>
      </c>
      <c r="E142" s="21">
        <v>14300</v>
      </c>
      <c r="F142" s="21">
        <f>C142*E142</f>
        <v>14300</v>
      </c>
    </row>
    <row r="143" spans="1:6" x14ac:dyDescent="0.25">
      <c r="A143" s="12">
        <v>10.199999999999999</v>
      </c>
      <c r="B143" s="19" t="s">
        <v>162</v>
      </c>
      <c r="C143" s="14"/>
      <c r="D143" s="12"/>
      <c r="E143" s="21"/>
      <c r="F143" s="21"/>
    </row>
    <row r="144" spans="1:6" x14ac:dyDescent="0.25">
      <c r="A144" s="12">
        <v>10.3</v>
      </c>
      <c r="B144" s="19" t="s">
        <v>160</v>
      </c>
      <c r="C144" s="14"/>
      <c r="D144" s="12"/>
      <c r="E144" s="21"/>
      <c r="F144" s="21"/>
    </row>
    <row r="145" spans="1:6" x14ac:dyDescent="0.25">
      <c r="A145" s="12">
        <v>10.4</v>
      </c>
      <c r="B145" s="19" t="s">
        <v>161</v>
      </c>
      <c r="C145" s="14"/>
      <c r="D145" s="12"/>
      <c r="E145" s="21"/>
      <c r="F145" s="21"/>
    </row>
    <row r="146" spans="1:6" x14ac:dyDescent="0.25">
      <c r="A146" s="12">
        <v>10.5</v>
      </c>
      <c r="B146" s="19" t="s">
        <v>172</v>
      </c>
      <c r="C146" s="14"/>
      <c r="D146" s="12"/>
      <c r="E146" s="21"/>
      <c r="F146" s="21"/>
    </row>
    <row r="147" spans="1:6" x14ac:dyDescent="0.25">
      <c r="A147" s="12">
        <v>11</v>
      </c>
      <c r="B147" s="26" t="s">
        <v>53</v>
      </c>
      <c r="C147" s="14"/>
      <c r="D147" s="12"/>
      <c r="E147" s="15"/>
      <c r="F147" s="16"/>
    </row>
    <row r="148" spans="1:6" ht="47.25" x14ac:dyDescent="0.25">
      <c r="A148" s="12"/>
      <c r="B148" s="19" t="s">
        <v>54</v>
      </c>
      <c r="C148" s="14">
        <v>1</v>
      </c>
      <c r="D148" s="12" t="s">
        <v>28</v>
      </c>
      <c r="E148" s="21">
        <f>((10*9500+5000+45000*2*1.54)*1.3)/510</f>
        <v>608.1960784313726</v>
      </c>
      <c r="F148" s="21">
        <f>C148*E148</f>
        <v>608.1960784313726</v>
      </c>
    </row>
    <row r="149" spans="1:6" ht="31.5" x14ac:dyDescent="0.25">
      <c r="A149" s="12">
        <v>7.1</v>
      </c>
      <c r="B149" s="19" t="s">
        <v>55</v>
      </c>
      <c r="C149" s="27">
        <v>30</v>
      </c>
      <c r="D149" s="12" t="s">
        <v>56</v>
      </c>
      <c r="E149" s="21">
        <v>7.5</v>
      </c>
      <c r="F149" s="21">
        <f>C149*E149</f>
        <v>225</v>
      </c>
    </row>
    <row r="150" spans="1:6" ht="44.45" customHeight="1" x14ac:dyDescent="0.25">
      <c r="A150" s="12">
        <v>7.2</v>
      </c>
      <c r="B150" s="19" t="s">
        <v>57</v>
      </c>
      <c r="C150" s="14">
        <v>1</v>
      </c>
      <c r="D150" s="12" t="s">
        <v>28</v>
      </c>
      <c r="E150" s="21">
        <f>((50000+5000+45000*1.54)*1.3)/510+0.16</f>
        <v>317.00313725490196</v>
      </c>
      <c r="F150" s="21">
        <f>C150*E150</f>
        <v>317.00313725490196</v>
      </c>
    </row>
    <row r="151" spans="1:6" x14ac:dyDescent="0.25">
      <c r="A151" s="12">
        <v>8</v>
      </c>
      <c r="B151" s="26" t="s">
        <v>59</v>
      </c>
      <c r="C151" s="14"/>
      <c r="D151" s="12"/>
      <c r="E151" s="15"/>
      <c r="F151" s="16">
        <f t="shared" ref="F151" si="14">C151*E151</f>
        <v>0</v>
      </c>
    </row>
    <row r="152" spans="1:6" ht="63" x14ac:dyDescent="0.25">
      <c r="A152" s="12">
        <v>8.1</v>
      </c>
      <c r="B152" s="19" t="s">
        <v>152</v>
      </c>
      <c r="C152" s="14">
        <v>30</v>
      </c>
      <c r="D152" s="12" t="s">
        <v>28</v>
      </c>
      <c r="E152" s="21">
        <f>E134</f>
        <v>210.5</v>
      </c>
      <c r="F152" s="21">
        <f>E152*C152</f>
        <v>6315</v>
      </c>
    </row>
    <row r="153" spans="1:6" ht="36.75" customHeight="1" x14ac:dyDescent="0.25">
      <c r="A153" s="12">
        <v>8.1999999999999993</v>
      </c>
      <c r="B153" s="19" t="s">
        <v>60</v>
      </c>
      <c r="C153" s="14">
        <f>C152</f>
        <v>30</v>
      </c>
      <c r="D153" s="12" t="s">
        <v>28</v>
      </c>
      <c r="E153" s="21">
        <v>14.71</v>
      </c>
      <c r="F153" s="21">
        <f>+E153*C153</f>
        <v>441.3</v>
      </c>
    </row>
    <row r="154" spans="1:6" x14ac:dyDescent="0.25">
      <c r="A154" s="12">
        <v>8.3000000000000007</v>
      </c>
      <c r="B154" s="19" t="s">
        <v>46</v>
      </c>
      <c r="C154" s="14">
        <f>C152</f>
        <v>30</v>
      </c>
      <c r="D154" s="12" t="s">
        <v>28</v>
      </c>
      <c r="E154" s="21">
        <v>20</v>
      </c>
      <c r="F154" s="21">
        <f>+E154*C154</f>
        <v>600</v>
      </c>
    </row>
    <row r="155" spans="1:6" x14ac:dyDescent="0.25">
      <c r="A155" s="12">
        <v>8.4</v>
      </c>
      <c r="B155" s="19" t="s">
        <v>47</v>
      </c>
      <c r="C155" s="14">
        <f>C152</f>
        <v>30</v>
      </c>
      <c r="D155" s="12" t="s">
        <v>28</v>
      </c>
      <c r="E155" s="21">
        <v>15</v>
      </c>
      <c r="F155" s="21">
        <f>+E155*C155</f>
        <v>450</v>
      </c>
    </row>
    <row r="156" spans="1:6" x14ac:dyDescent="0.25">
      <c r="A156" s="12">
        <v>8.5</v>
      </c>
      <c r="B156" s="19" t="s">
        <v>48</v>
      </c>
      <c r="C156" s="14">
        <f>C152</f>
        <v>30</v>
      </c>
      <c r="D156" s="12" t="s">
        <v>28</v>
      </c>
      <c r="E156" s="21">
        <v>65</v>
      </c>
      <c r="F156" s="21">
        <f>+E156*C156</f>
        <v>1950</v>
      </c>
    </row>
    <row r="157" spans="1:6" x14ac:dyDescent="0.25">
      <c r="A157" s="12" t="s">
        <v>61</v>
      </c>
      <c r="B157" s="19" t="s">
        <v>62</v>
      </c>
      <c r="C157" s="14"/>
      <c r="D157" s="12"/>
      <c r="E157" s="21"/>
      <c r="F157" s="21"/>
    </row>
    <row r="158" spans="1:6" ht="44.45" customHeight="1" x14ac:dyDescent="0.25">
      <c r="A158" s="12">
        <v>9</v>
      </c>
      <c r="B158" s="28" t="s">
        <v>63</v>
      </c>
      <c r="C158" s="14"/>
      <c r="D158" s="12"/>
      <c r="E158" s="15"/>
      <c r="F158" s="16"/>
    </row>
    <row r="159" spans="1:6" ht="63" x14ac:dyDescent="0.25">
      <c r="A159" s="12">
        <v>9.1</v>
      </c>
      <c r="B159" s="19" t="s">
        <v>152</v>
      </c>
      <c r="C159" s="25">
        <v>5</v>
      </c>
      <c r="D159" s="12" t="s">
        <v>28</v>
      </c>
      <c r="E159" s="21">
        <f>E152</f>
        <v>210.5</v>
      </c>
      <c r="F159" s="21">
        <f>E159*C159</f>
        <v>1052.5</v>
      </c>
    </row>
    <row r="160" spans="1:6" x14ac:dyDescent="0.25">
      <c r="A160" s="12">
        <v>9.1999999999999993</v>
      </c>
      <c r="B160" s="19" t="s">
        <v>64</v>
      </c>
      <c r="C160" s="25">
        <f>C159</f>
        <v>5</v>
      </c>
      <c r="D160" s="12" t="s">
        <v>28</v>
      </c>
      <c r="E160" s="21">
        <v>171.15</v>
      </c>
      <c r="F160" s="21">
        <f>E160*C160</f>
        <v>855.75</v>
      </c>
    </row>
    <row r="161" spans="1:6" x14ac:dyDescent="0.25">
      <c r="A161" s="12">
        <v>9.3000000000000007</v>
      </c>
      <c r="B161" s="19" t="s">
        <v>60</v>
      </c>
      <c r="C161" s="25">
        <f>C159</f>
        <v>5</v>
      </c>
      <c r="D161" s="12" t="s">
        <v>28</v>
      </c>
      <c r="E161" s="21">
        <v>14.71</v>
      </c>
      <c r="F161" s="21">
        <f>E161*C161</f>
        <v>73.550000000000011</v>
      </c>
    </row>
    <row r="162" spans="1:6" x14ac:dyDescent="0.25">
      <c r="A162" s="12">
        <v>9.4</v>
      </c>
      <c r="B162" s="19" t="s">
        <v>46</v>
      </c>
      <c r="C162" s="44">
        <f>C159</f>
        <v>5</v>
      </c>
      <c r="D162" s="12" t="s">
        <v>28</v>
      </c>
      <c r="E162" s="21">
        <v>20</v>
      </c>
      <c r="F162" s="21">
        <f>+E162*C162</f>
        <v>100</v>
      </c>
    </row>
    <row r="163" spans="1:6" x14ac:dyDescent="0.25">
      <c r="A163" s="12">
        <v>9.5</v>
      </c>
      <c r="B163" s="19" t="s">
        <v>47</v>
      </c>
      <c r="C163" s="25">
        <f>C159</f>
        <v>5</v>
      </c>
      <c r="D163" s="12" t="s">
        <v>28</v>
      </c>
      <c r="E163" s="21">
        <v>15</v>
      </c>
      <c r="F163" s="21">
        <f>+E163*C163</f>
        <v>75</v>
      </c>
    </row>
    <row r="164" spans="1:6" x14ac:dyDescent="0.25">
      <c r="A164" s="12">
        <v>9.6</v>
      </c>
      <c r="B164" s="19" t="s">
        <v>48</v>
      </c>
      <c r="C164" s="25">
        <f>C159</f>
        <v>5</v>
      </c>
      <c r="D164" s="12" t="s">
        <v>28</v>
      </c>
      <c r="E164" s="21">
        <v>65</v>
      </c>
      <c r="F164" s="21">
        <f>+E164*C164</f>
        <v>325</v>
      </c>
    </row>
    <row r="165" spans="1:6" ht="44.45" customHeight="1" x14ac:dyDescent="0.25">
      <c r="A165" s="12">
        <v>10</v>
      </c>
      <c r="B165" s="28" t="s">
        <v>65</v>
      </c>
      <c r="C165" s="14"/>
      <c r="D165" s="12"/>
      <c r="E165" s="15"/>
      <c r="F165" s="16"/>
    </row>
    <row r="166" spans="1:6" ht="47.25" x14ac:dyDescent="0.25">
      <c r="A166" s="12"/>
      <c r="B166" s="19" t="s">
        <v>66</v>
      </c>
      <c r="C166" s="29"/>
      <c r="D166" s="12"/>
      <c r="E166" s="15"/>
      <c r="F166" s="16"/>
    </row>
    <row r="167" spans="1:6" ht="31.5" x14ac:dyDescent="0.25">
      <c r="A167" s="12">
        <v>10.1</v>
      </c>
      <c r="B167" s="19" t="s">
        <v>67</v>
      </c>
      <c r="C167" s="44">
        <v>230</v>
      </c>
      <c r="D167" s="12" t="s">
        <v>68</v>
      </c>
      <c r="E167" s="21">
        <v>20.16</v>
      </c>
      <c r="F167" s="21">
        <f>C167*E167</f>
        <v>4636.8</v>
      </c>
    </row>
    <row r="168" spans="1:6" ht="31.5" x14ac:dyDescent="0.25">
      <c r="A168" s="12">
        <v>10.199999999999999</v>
      </c>
      <c r="B168" s="19" t="s">
        <v>69</v>
      </c>
      <c r="C168" s="44">
        <v>48</v>
      </c>
      <c r="D168" s="12" t="s">
        <v>28</v>
      </c>
      <c r="E168" s="21">
        <v>135.57</v>
      </c>
      <c r="F168" s="21">
        <f>C168*E168</f>
        <v>6507.36</v>
      </c>
    </row>
    <row r="169" spans="1:6" x14ac:dyDescent="0.25">
      <c r="A169" s="12">
        <v>10.3</v>
      </c>
      <c r="B169" s="19" t="s">
        <v>70</v>
      </c>
      <c r="C169" s="44">
        <v>0</v>
      </c>
      <c r="D169" s="12" t="s">
        <v>28</v>
      </c>
      <c r="E169" s="21">
        <v>0</v>
      </c>
      <c r="F169" s="21">
        <f>C169*E169</f>
        <v>0</v>
      </c>
    </row>
    <row r="170" spans="1:6" x14ac:dyDescent="0.25">
      <c r="A170" s="12">
        <v>10.4</v>
      </c>
      <c r="B170" s="19" t="s">
        <v>71</v>
      </c>
      <c r="C170" s="44">
        <f>C168</f>
        <v>48</v>
      </c>
      <c r="D170" s="12" t="s">
        <v>28</v>
      </c>
      <c r="E170" s="21">
        <v>6.33</v>
      </c>
      <c r="F170" s="21">
        <f>C170*E170</f>
        <v>303.84000000000003</v>
      </c>
    </row>
    <row r="171" spans="1:6" x14ac:dyDescent="0.25">
      <c r="A171" s="12">
        <v>11</v>
      </c>
      <c r="B171" s="28" t="s">
        <v>72</v>
      </c>
      <c r="C171" s="44"/>
      <c r="D171" s="12"/>
      <c r="E171" s="21"/>
      <c r="F171" s="16"/>
    </row>
    <row r="172" spans="1:6" ht="31.5" x14ac:dyDescent="0.25">
      <c r="A172" s="12">
        <v>11.1</v>
      </c>
      <c r="B172" s="19" t="s">
        <v>73</v>
      </c>
      <c r="C172" s="14">
        <f>C119+C128+C140</f>
        <v>208</v>
      </c>
      <c r="D172" s="12" t="s">
        <v>28</v>
      </c>
      <c r="E172" s="21">
        <v>5</v>
      </c>
      <c r="F172" s="21">
        <f>C172*E172</f>
        <v>1040</v>
      </c>
    </row>
    <row r="173" spans="1:6" x14ac:dyDescent="0.25">
      <c r="A173" s="12">
        <v>12</v>
      </c>
      <c r="B173" s="28" t="s">
        <v>74</v>
      </c>
      <c r="C173" s="29"/>
      <c r="D173" s="12"/>
      <c r="E173" s="21"/>
      <c r="F173" s="21"/>
    </row>
    <row r="174" spans="1:6" x14ac:dyDescent="0.25">
      <c r="A174" s="12">
        <v>12.1</v>
      </c>
      <c r="B174" s="19" t="s">
        <v>75</v>
      </c>
      <c r="C174" s="29">
        <f>2*6</f>
        <v>12</v>
      </c>
      <c r="D174" s="12" t="s">
        <v>56</v>
      </c>
      <c r="E174" s="21">
        <f>(45000*1.52*1.3)/510</f>
        <v>174.35294117647058</v>
      </c>
      <c r="F174" s="21">
        <f>E174</f>
        <v>174.35294117647058</v>
      </c>
    </row>
    <row r="175" spans="1:6" x14ac:dyDescent="0.25">
      <c r="A175" s="12">
        <v>12.2</v>
      </c>
      <c r="B175" s="19" t="s">
        <v>154</v>
      </c>
      <c r="C175" s="29">
        <f>2*6</f>
        <v>12</v>
      </c>
      <c r="D175" s="12" t="s">
        <v>56</v>
      </c>
      <c r="E175" s="21">
        <f>(2*8700*1.5*1.3+20*8000)/510</f>
        <v>380.25490196078431</v>
      </c>
      <c r="F175" s="21">
        <f t="shared" ref="F175:F181" si="15">E175</f>
        <v>380.25490196078431</v>
      </c>
    </row>
    <row r="176" spans="1:6" x14ac:dyDescent="0.25">
      <c r="A176" s="12">
        <v>12.3</v>
      </c>
      <c r="B176" s="19" t="s">
        <v>155</v>
      </c>
      <c r="C176" s="29">
        <f>2*6</f>
        <v>12</v>
      </c>
      <c r="D176" s="12" t="s">
        <v>56</v>
      </c>
      <c r="E176" s="21">
        <f>(45000*1.52*1.3)/510</f>
        <v>174.35294117647058</v>
      </c>
      <c r="F176" s="21">
        <f t="shared" si="15"/>
        <v>174.35294117647058</v>
      </c>
    </row>
    <row r="177" spans="1:6" x14ac:dyDescent="0.25">
      <c r="A177" s="12">
        <v>12.4</v>
      </c>
      <c r="B177" s="19" t="s">
        <v>156</v>
      </c>
      <c r="C177" s="29">
        <f>2*6</f>
        <v>12</v>
      </c>
      <c r="D177" s="12" t="s">
        <v>56</v>
      </c>
      <c r="E177" s="21">
        <f>(2*7560*1.5*1.3+20*8000)/510</f>
        <v>371.53725490196081</v>
      </c>
      <c r="F177" s="21">
        <f t="shared" si="15"/>
        <v>371.53725490196081</v>
      </c>
    </row>
    <row r="178" spans="1:6" x14ac:dyDescent="0.25">
      <c r="A178" s="12">
        <v>13</v>
      </c>
      <c r="B178" s="28" t="s">
        <v>77</v>
      </c>
      <c r="C178" s="29"/>
      <c r="D178" s="12"/>
      <c r="E178" s="15"/>
      <c r="F178" s="16"/>
    </row>
    <row r="179" spans="1:6" x14ac:dyDescent="0.25">
      <c r="A179" s="12">
        <v>13.1</v>
      </c>
      <c r="B179" s="19" t="s">
        <v>78</v>
      </c>
      <c r="C179" s="29">
        <f>2*6</f>
        <v>12</v>
      </c>
      <c r="D179" s="12" t="s">
        <v>56</v>
      </c>
      <c r="E179" s="21">
        <f>(45000*1.52*1.3)/510</f>
        <v>174.35294117647058</v>
      </c>
      <c r="F179" s="21">
        <f t="shared" si="15"/>
        <v>174.35294117647058</v>
      </c>
    </row>
    <row r="180" spans="1:6" x14ac:dyDescent="0.25">
      <c r="A180" s="12">
        <v>13.2</v>
      </c>
      <c r="B180" s="19" t="s">
        <v>157</v>
      </c>
      <c r="C180" s="29">
        <f>2*6</f>
        <v>12</v>
      </c>
      <c r="D180" s="12" t="s">
        <v>56</v>
      </c>
      <c r="E180" s="21">
        <f>(2*13300*1.8*1.3+20*8000)/510</f>
        <v>435.77254901960782</v>
      </c>
      <c r="F180" s="21">
        <f t="shared" si="15"/>
        <v>435.77254901960782</v>
      </c>
    </row>
    <row r="181" spans="1:6" x14ac:dyDescent="0.25">
      <c r="A181" s="12">
        <v>14</v>
      </c>
      <c r="B181" s="28" t="s">
        <v>163</v>
      </c>
      <c r="C181" s="29">
        <v>1</v>
      </c>
      <c r="D181" s="12" t="s">
        <v>28</v>
      </c>
      <c r="E181" s="21">
        <v>7345</v>
      </c>
      <c r="F181" s="21">
        <f t="shared" si="15"/>
        <v>7345</v>
      </c>
    </row>
    <row r="182" spans="1:6" x14ac:dyDescent="0.25">
      <c r="A182" s="12">
        <v>14.1</v>
      </c>
      <c r="B182" s="19" t="s">
        <v>165</v>
      </c>
      <c r="C182" s="29"/>
      <c r="D182" s="12"/>
      <c r="E182" s="21"/>
      <c r="F182" s="21"/>
    </row>
    <row r="183" spans="1:6" x14ac:dyDescent="0.25">
      <c r="A183" s="12">
        <v>14.2</v>
      </c>
      <c r="B183" s="19" t="s">
        <v>164</v>
      </c>
      <c r="C183" s="29"/>
      <c r="D183" s="12"/>
      <c r="E183" s="21"/>
      <c r="F183" s="21"/>
    </row>
    <row r="184" spans="1:6" x14ac:dyDescent="0.25">
      <c r="A184" s="22"/>
      <c r="B184" s="46"/>
      <c r="C184" s="47"/>
      <c r="D184" s="48"/>
      <c r="E184" s="49"/>
      <c r="F184" s="21"/>
    </row>
    <row r="185" spans="1:6" x14ac:dyDescent="0.25">
      <c r="A185" s="22"/>
      <c r="B185" s="46"/>
      <c r="C185" s="47"/>
      <c r="D185" s="48"/>
      <c r="E185" s="49"/>
      <c r="F185" s="21"/>
    </row>
    <row r="186" spans="1:6" x14ac:dyDescent="0.25">
      <c r="A186" s="54" t="s">
        <v>97</v>
      </c>
      <c r="B186" s="55"/>
      <c r="C186" s="55"/>
      <c r="D186" s="55"/>
      <c r="E186" s="56"/>
      <c r="F186" s="30">
        <f>SUM(F98:F184)</f>
        <v>137806.26892156864</v>
      </c>
    </row>
    <row r="188" spans="1:6" x14ac:dyDescent="0.25">
      <c r="A188" s="41"/>
      <c r="B188" s="42"/>
      <c r="C188" s="42"/>
      <c r="D188" s="42"/>
      <c r="E188" s="43"/>
      <c r="F188" s="30"/>
    </row>
    <row r="189" spans="1:6" x14ac:dyDescent="0.25">
      <c r="A189" s="41"/>
      <c r="B189" s="42"/>
      <c r="C189" s="42"/>
      <c r="D189" s="42"/>
      <c r="E189" s="43"/>
      <c r="F189" s="30"/>
    </row>
    <row r="190" spans="1:6" x14ac:dyDescent="0.25">
      <c r="A190" s="41"/>
      <c r="B190" s="42"/>
      <c r="C190" s="42"/>
      <c r="D190" s="42"/>
      <c r="E190" s="43"/>
      <c r="F190" s="30"/>
    </row>
    <row r="191" spans="1:6" x14ac:dyDescent="0.25">
      <c r="A191" s="41"/>
      <c r="B191" s="42"/>
      <c r="C191" s="42"/>
      <c r="D191" s="42"/>
      <c r="E191" s="43"/>
      <c r="F191" s="30"/>
    </row>
    <row r="192" spans="1:6" x14ac:dyDescent="0.25">
      <c r="A192" s="41"/>
      <c r="B192" s="42"/>
      <c r="C192" s="42"/>
      <c r="D192" s="42"/>
      <c r="E192" s="43"/>
      <c r="F192" s="30"/>
    </row>
    <row r="193" spans="1:6" ht="18.75" x14ac:dyDescent="0.25">
      <c r="A193" s="64" t="s">
        <v>98</v>
      </c>
      <c r="B193" s="64"/>
      <c r="C193" s="64"/>
      <c r="D193" s="64"/>
      <c r="E193" s="64"/>
      <c r="F193" s="64"/>
    </row>
    <row r="194" spans="1:6" x14ac:dyDescent="0.25">
      <c r="A194" s="52" t="s">
        <v>99</v>
      </c>
      <c r="B194" s="52"/>
      <c r="C194" s="52"/>
      <c r="D194" s="52"/>
      <c r="E194" s="52"/>
      <c r="F194" s="52"/>
    </row>
    <row r="195" spans="1:6" x14ac:dyDescent="0.25">
      <c r="A195" s="9" t="s">
        <v>7</v>
      </c>
      <c r="B195" s="9" t="s">
        <v>8</v>
      </c>
      <c r="C195" s="10" t="s">
        <v>9</v>
      </c>
      <c r="D195" s="9" t="s">
        <v>10</v>
      </c>
      <c r="E195" s="11" t="s">
        <v>11</v>
      </c>
      <c r="F195" s="11" t="s">
        <v>12</v>
      </c>
    </row>
    <row r="196" spans="1:6" x14ac:dyDescent="0.25">
      <c r="A196" s="12">
        <v>1</v>
      </c>
      <c r="B196" s="13" t="s">
        <v>85</v>
      </c>
      <c r="C196" s="25">
        <v>1</v>
      </c>
      <c r="D196" s="12" t="s">
        <v>28</v>
      </c>
      <c r="E196" s="21">
        <v>925.67</v>
      </c>
      <c r="F196" s="21">
        <f t="shared" ref="F196" si="16">C196*E196</f>
        <v>925.67</v>
      </c>
    </row>
    <row r="197" spans="1:6" x14ac:dyDescent="0.25">
      <c r="A197" s="12">
        <v>1.1000000000000001</v>
      </c>
      <c r="B197" s="17" t="s">
        <v>86</v>
      </c>
      <c r="C197" s="25"/>
      <c r="D197" s="12"/>
      <c r="E197" s="21"/>
      <c r="F197" s="21"/>
    </row>
    <row r="198" spans="1:6" x14ac:dyDescent="0.25">
      <c r="A198" s="12">
        <v>1.2</v>
      </c>
      <c r="B198" s="17" t="s">
        <v>85</v>
      </c>
      <c r="C198" s="25"/>
      <c r="D198" s="12"/>
      <c r="E198" s="15"/>
      <c r="F198" s="21"/>
    </row>
    <row r="199" spans="1:6" x14ac:dyDescent="0.25">
      <c r="A199" s="12"/>
      <c r="B199" s="17"/>
      <c r="C199" s="25"/>
      <c r="D199" s="12"/>
      <c r="E199" s="15"/>
      <c r="F199" s="21"/>
    </row>
    <row r="200" spans="1:6" x14ac:dyDescent="0.25">
      <c r="A200" s="12">
        <v>2</v>
      </c>
      <c r="B200" s="13" t="s">
        <v>18</v>
      </c>
      <c r="C200" s="14"/>
      <c r="D200" s="12"/>
      <c r="E200" s="15"/>
      <c r="F200" s="16"/>
    </row>
    <row r="201" spans="1:6" x14ac:dyDescent="0.25">
      <c r="A201" s="12">
        <v>2.1</v>
      </c>
      <c r="B201" s="19" t="s">
        <v>176</v>
      </c>
      <c r="C201" s="25">
        <v>1</v>
      </c>
      <c r="D201" s="12" t="s">
        <v>182</v>
      </c>
      <c r="E201" s="21">
        <v>105000</v>
      </c>
      <c r="F201" s="21">
        <f t="shared" ref="F201" si="17">C201*E201</f>
        <v>105000</v>
      </c>
    </row>
    <row r="202" spans="1:6" x14ac:dyDescent="0.25">
      <c r="A202" s="12">
        <v>2.2000000000000002</v>
      </c>
      <c r="B202" s="19" t="s">
        <v>177</v>
      </c>
      <c r="C202" s="25"/>
      <c r="D202" s="12"/>
      <c r="E202" s="21"/>
      <c r="F202" s="21"/>
    </row>
    <row r="203" spans="1:6" x14ac:dyDescent="0.25">
      <c r="A203" s="12">
        <v>2.2999999999999998</v>
      </c>
      <c r="B203" s="19" t="s">
        <v>178</v>
      </c>
      <c r="C203" s="25"/>
      <c r="D203" s="12"/>
      <c r="E203" s="21"/>
      <c r="F203" s="21"/>
    </row>
    <row r="204" spans="1:6" x14ac:dyDescent="0.25">
      <c r="A204" s="12">
        <v>2.4</v>
      </c>
      <c r="B204" s="19" t="s">
        <v>100</v>
      </c>
      <c r="C204" s="25"/>
      <c r="D204" s="12"/>
      <c r="E204" s="21"/>
      <c r="F204" s="21"/>
    </row>
    <row r="205" spans="1:6" x14ac:dyDescent="0.25">
      <c r="A205" s="12">
        <v>2.5</v>
      </c>
      <c r="B205" s="19" t="s">
        <v>24</v>
      </c>
      <c r="C205" s="25"/>
      <c r="D205" s="12"/>
      <c r="E205" s="18"/>
      <c r="F205" s="20"/>
    </row>
    <row r="206" spans="1:6" x14ac:dyDescent="0.25">
      <c r="A206" s="12">
        <v>2.6</v>
      </c>
      <c r="B206" s="19" t="s">
        <v>181</v>
      </c>
      <c r="C206" s="25"/>
      <c r="D206" s="12"/>
      <c r="E206" s="18"/>
      <c r="F206" s="20"/>
    </row>
    <row r="207" spans="1:6" x14ac:dyDescent="0.25">
      <c r="A207" s="12">
        <v>3</v>
      </c>
      <c r="B207" s="26" t="s">
        <v>179</v>
      </c>
      <c r="C207" s="25">
        <v>1</v>
      </c>
      <c r="D207" s="12" t="s">
        <v>182</v>
      </c>
      <c r="E207" s="18">
        <v>14250</v>
      </c>
      <c r="F207" s="21">
        <f t="shared" ref="F207" si="18">C207*E207</f>
        <v>14250</v>
      </c>
    </row>
    <row r="208" spans="1:6" x14ac:dyDescent="0.25">
      <c r="A208" s="12">
        <v>3.1</v>
      </c>
      <c r="B208" s="19" t="s">
        <v>180</v>
      </c>
      <c r="C208" s="25"/>
      <c r="D208" s="12"/>
      <c r="E208" s="18"/>
      <c r="F208" s="20"/>
    </row>
    <row r="209" spans="1:7" x14ac:dyDescent="0.25">
      <c r="A209" s="12">
        <v>3.2</v>
      </c>
      <c r="B209" s="19" t="s">
        <v>177</v>
      </c>
      <c r="C209" s="25"/>
      <c r="D209" s="12"/>
      <c r="E209" s="18"/>
      <c r="F209" s="20"/>
    </row>
    <row r="210" spans="1:7" x14ac:dyDescent="0.25">
      <c r="A210" s="12">
        <v>3.3</v>
      </c>
      <c r="B210" s="19" t="s">
        <v>175</v>
      </c>
      <c r="C210" s="25"/>
      <c r="D210" s="12"/>
      <c r="E210" s="18"/>
      <c r="F210" s="20"/>
    </row>
    <row r="211" spans="1:7" x14ac:dyDescent="0.25">
      <c r="A211" s="12">
        <v>4</v>
      </c>
      <c r="B211" s="13" t="s">
        <v>26</v>
      </c>
      <c r="C211" s="14"/>
      <c r="D211" s="12"/>
      <c r="E211" s="15"/>
      <c r="F211" s="16">
        <f t="shared" ref="F211" si="19">C211*E211</f>
        <v>0</v>
      </c>
    </row>
    <row r="212" spans="1:7" ht="189" x14ac:dyDescent="0.25">
      <c r="A212" s="12">
        <v>4.0999999999999996</v>
      </c>
      <c r="B212" s="19" t="s">
        <v>27</v>
      </c>
      <c r="C212" s="14" t="s">
        <v>35</v>
      </c>
      <c r="D212" s="12" t="s">
        <v>28</v>
      </c>
      <c r="E212" s="21">
        <v>0</v>
      </c>
      <c r="F212" s="21">
        <v>0</v>
      </c>
      <c r="G212" s="39"/>
    </row>
    <row r="213" spans="1:7" x14ac:dyDescent="0.25">
      <c r="A213" s="12">
        <v>4.2</v>
      </c>
      <c r="B213" s="23" t="s">
        <v>89</v>
      </c>
      <c r="C213" s="25">
        <v>19</v>
      </c>
      <c r="D213" s="12" t="s">
        <v>28</v>
      </c>
      <c r="E213" s="21">
        <v>4.5</v>
      </c>
      <c r="F213" s="18">
        <f t="shared" ref="F213:F219" si="20">C213*E213</f>
        <v>85.5</v>
      </c>
    </row>
    <row r="214" spans="1:7" ht="47.25" x14ac:dyDescent="0.25">
      <c r="A214" s="12">
        <v>4.3</v>
      </c>
      <c r="B214" s="23" t="s">
        <v>90</v>
      </c>
      <c r="C214" s="14">
        <v>29</v>
      </c>
      <c r="D214" s="12" t="s">
        <v>28</v>
      </c>
      <c r="E214" s="21">
        <v>102.79411764705881</v>
      </c>
      <c r="F214" s="21">
        <f t="shared" si="20"/>
        <v>2981.0294117647054</v>
      </c>
    </row>
    <row r="215" spans="1:7" ht="47.25" x14ac:dyDescent="0.25">
      <c r="A215" s="12">
        <v>4.4000000000000004</v>
      </c>
      <c r="B215" s="23" t="s">
        <v>101</v>
      </c>
      <c r="C215" s="14">
        <f>16+10+6</f>
        <v>32</v>
      </c>
      <c r="D215" s="12" t="s">
        <v>28</v>
      </c>
      <c r="E215" s="21">
        <v>210.19411764705882</v>
      </c>
      <c r="F215" s="21">
        <f t="shared" si="20"/>
        <v>6726.2117647058822</v>
      </c>
    </row>
    <row r="216" spans="1:7" ht="47.25" x14ac:dyDescent="0.25">
      <c r="A216" s="12">
        <v>4.5</v>
      </c>
      <c r="B216" s="19" t="s">
        <v>32</v>
      </c>
      <c r="C216" s="14">
        <v>8</v>
      </c>
      <c r="D216" s="12" t="s">
        <v>28</v>
      </c>
      <c r="E216" s="21">
        <v>65.661764705882348</v>
      </c>
      <c r="F216" s="21">
        <f t="shared" si="20"/>
        <v>525.29411764705878</v>
      </c>
    </row>
    <row r="217" spans="1:7" ht="47.25" x14ac:dyDescent="0.25">
      <c r="A217" s="12">
        <v>4.5999999999999996</v>
      </c>
      <c r="B217" s="19" t="s">
        <v>33</v>
      </c>
      <c r="C217" s="14">
        <v>25</v>
      </c>
      <c r="D217" s="12" t="s">
        <v>28</v>
      </c>
      <c r="E217" s="21">
        <v>162.79411764705881</v>
      </c>
      <c r="F217" s="21">
        <f t="shared" si="20"/>
        <v>4069.8529411764703</v>
      </c>
    </row>
    <row r="218" spans="1:7" ht="47.25" x14ac:dyDescent="0.25">
      <c r="A218" s="12">
        <v>4.7</v>
      </c>
      <c r="B218" s="19" t="s">
        <v>34</v>
      </c>
      <c r="C218" s="25">
        <v>13</v>
      </c>
      <c r="D218" s="12" t="s">
        <v>28</v>
      </c>
      <c r="E218" s="21">
        <f>25.08*1.5</f>
        <v>37.619999999999997</v>
      </c>
      <c r="F218" s="21">
        <f t="shared" si="20"/>
        <v>489.05999999999995</v>
      </c>
    </row>
    <row r="219" spans="1:7" ht="63" x14ac:dyDescent="0.25">
      <c r="A219" s="12">
        <v>5</v>
      </c>
      <c r="B219" s="13" t="s">
        <v>36</v>
      </c>
      <c r="C219" s="25">
        <v>3</v>
      </c>
      <c r="D219" s="12" t="s">
        <v>28</v>
      </c>
      <c r="E219" s="21">
        <v>2730</v>
      </c>
      <c r="F219" s="21">
        <f t="shared" si="20"/>
        <v>8190</v>
      </c>
    </row>
    <row r="220" spans="1:7" ht="36" customHeight="1" x14ac:dyDescent="0.25">
      <c r="A220" s="12">
        <v>6</v>
      </c>
      <c r="B220" s="13" t="s">
        <v>37</v>
      </c>
      <c r="C220" s="14"/>
      <c r="D220" s="12"/>
      <c r="E220" s="21"/>
      <c r="F220" s="16"/>
    </row>
    <row r="221" spans="1:7" ht="78.75" x14ac:dyDescent="0.25">
      <c r="A221" s="12">
        <v>6.1</v>
      </c>
      <c r="B221" s="17" t="s">
        <v>93</v>
      </c>
      <c r="C221" s="14" t="s">
        <v>35</v>
      </c>
      <c r="D221" s="12"/>
      <c r="E221" s="15"/>
      <c r="F221" s="16"/>
    </row>
    <row r="222" spans="1:7" ht="47.25" x14ac:dyDescent="0.25">
      <c r="A222" s="12">
        <v>6.2</v>
      </c>
      <c r="B222" s="19" t="s">
        <v>34</v>
      </c>
      <c r="C222" s="25">
        <v>10</v>
      </c>
      <c r="D222" s="12" t="s">
        <v>28</v>
      </c>
      <c r="E222" s="21">
        <f>25.08*1.5</f>
        <v>37.619999999999997</v>
      </c>
      <c r="F222" s="21">
        <f>C222*E222</f>
        <v>376.2</v>
      </c>
    </row>
    <row r="223" spans="1:7" x14ac:dyDescent="0.25">
      <c r="A223" s="12">
        <v>7</v>
      </c>
      <c r="B223" s="13" t="s">
        <v>39</v>
      </c>
      <c r="C223" s="14"/>
      <c r="D223" s="12"/>
      <c r="E223" s="21"/>
      <c r="F223" s="21"/>
    </row>
    <row r="224" spans="1:7" ht="63" x14ac:dyDescent="0.25">
      <c r="A224" s="12">
        <v>7.1</v>
      </c>
      <c r="B224" s="19" t="s">
        <v>95</v>
      </c>
      <c r="C224" s="14">
        <v>22</v>
      </c>
      <c r="D224" s="12" t="s">
        <v>28</v>
      </c>
      <c r="E224" s="21">
        <v>397</v>
      </c>
      <c r="F224" s="21">
        <f>E224*C224</f>
        <v>8734</v>
      </c>
    </row>
    <row r="225" spans="1:6" ht="78.75" x14ac:dyDescent="0.25">
      <c r="A225" s="12">
        <v>7.2</v>
      </c>
      <c r="B225" s="19" t="s">
        <v>96</v>
      </c>
      <c r="C225" s="14">
        <f>48+2</f>
        <v>50</v>
      </c>
      <c r="D225" s="12" t="s">
        <v>28</v>
      </c>
      <c r="E225" s="21">
        <v>5</v>
      </c>
      <c r="F225" s="21">
        <f t="shared" ref="F225:F226" si="21">C225*E225</f>
        <v>250</v>
      </c>
    </row>
    <row r="226" spans="1:6" ht="94.5" x14ac:dyDescent="0.25">
      <c r="A226" s="12">
        <v>7.3</v>
      </c>
      <c r="B226" s="19" t="s">
        <v>42</v>
      </c>
      <c r="C226" s="14">
        <v>12</v>
      </c>
      <c r="D226" s="12" t="s">
        <v>28</v>
      </c>
      <c r="E226" s="21">
        <v>15</v>
      </c>
      <c r="F226" s="21">
        <f t="shared" si="21"/>
        <v>180</v>
      </c>
    </row>
    <row r="227" spans="1:6" ht="44.45" customHeight="1" x14ac:dyDescent="0.25">
      <c r="A227" s="12">
        <v>8</v>
      </c>
      <c r="B227" s="13" t="s">
        <v>102</v>
      </c>
      <c r="C227" s="14"/>
      <c r="D227" s="12"/>
      <c r="E227" s="21"/>
      <c r="F227" s="21"/>
    </row>
    <row r="228" spans="1:6" ht="63" x14ac:dyDescent="0.25">
      <c r="A228" s="12">
        <v>8.1</v>
      </c>
      <c r="B228" s="19" t="s">
        <v>152</v>
      </c>
      <c r="C228" s="14">
        <f>19+5+6</f>
        <v>30</v>
      </c>
      <c r="D228" s="12" t="s">
        <v>94</v>
      </c>
      <c r="E228" s="21">
        <v>290.39999999999998</v>
      </c>
      <c r="F228" s="21">
        <f>C228*E228</f>
        <v>8712</v>
      </c>
    </row>
    <row r="229" spans="1:6" x14ac:dyDescent="0.25">
      <c r="A229" s="12">
        <v>8.1999999999999993</v>
      </c>
      <c r="B229" s="19" t="s">
        <v>45</v>
      </c>
      <c r="C229" s="14">
        <f>C228</f>
        <v>30</v>
      </c>
      <c r="D229" s="12" t="s">
        <v>28</v>
      </c>
      <c r="E229" s="21">
        <f>7500/510</f>
        <v>14.705882352941176</v>
      </c>
      <c r="F229" s="21">
        <f>+E229*C229</f>
        <v>441.17647058823525</v>
      </c>
    </row>
    <row r="230" spans="1:6" x14ac:dyDescent="0.25">
      <c r="A230" s="12">
        <v>8.3000000000000007</v>
      </c>
      <c r="B230" s="19" t="s">
        <v>46</v>
      </c>
      <c r="C230" s="14">
        <f>C228</f>
        <v>30</v>
      </c>
      <c r="D230" s="12" t="s">
        <v>28</v>
      </c>
      <c r="E230" s="21">
        <v>20</v>
      </c>
      <c r="F230" s="21">
        <f t="shared" ref="F230:F232" si="22">+E230*C230</f>
        <v>600</v>
      </c>
    </row>
    <row r="231" spans="1:6" x14ac:dyDescent="0.25">
      <c r="A231" s="12">
        <v>8.4</v>
      </c>
      <c r="B231" s="19" t="s">
        <v>47</v>
      </c>
      <c r="C231" s="14">
        <f>C228</f>
        <v>30</v>
      </c>
      <c r="D231" s="12" t="s">
        <v>28</v>
      </c>
      <c r="E231" s="21">
        <v>15</v>
      </c>
      <c r="F231" s="21">
        <f t="shared" si="22"/>
        <v>450</v>
      </c>
    </row>
    <row r="232" spans="1:6" x14ac:dyDescent="0.25">
      <c r="A232" s="12">
        <v>8.5</v>
      </c>
      <c r="B232" s="19" t="s">
        <v>48</v>
      </c>
      <c r="C232" s="14">
        <f>C228</f>
        <v>30</v>
      </c>
      <c r="D232" s="12" t="s">
        <v>28</v>
      </c>
      <c r="E232" s="21">
        <v>65</v>
      </c>
      <c r="F232" s="21">
        <f t="shared" si="22"/>
        <v>1950</v>
      </c>
    </row>
    <row r="233" spans="1:6" ht="44.45" customHeight="1" x14ac:dyDescent="0.25">
      <c r="A233" s="12">
        <v>10</v>
      </c>
      <c r="B233" s="13" t="s">
        <v>51</v>
      </c>
      <c r="C233" s="14"/>
      <c r="D233" s="12"/>
      <c r="E233" s="15"/>
      <c r="F233" s="16"/>
    </row>
    <row r="234" spans="1:6" x14ac:dyDescent="0.25">
      <c r="A234" s="12">
        <v>10.1</v>
      </c>
      <c r="B234" s="19" t="s">
        <v>52</v>
      </c>
      <c r="C234" s="14">
        <v>1</v>
      </c>
      <c r="D234" s="12" t="s">
        <v>28</v>
      </c>
      <c r="E234" s="21">
        <v>14300</v>
      </c>
      <c r="F234" s="21">
        <f>C234*E234</f>
        <v>14300</v>
      </c>
    </row>
    <row r="235" spans="1:6" x14ac:dyDescent="0.25">
      <c r="A235" s="12">
        <v>10.199999999999999</v>
      </c>
      <c r="B235" s="19" t="s">
        <v>162</v>
      </c>
      <c r="C235" s="14"/>
      <c r="D235" s="12"/>
      <c r="E235" s="21"/>
      <c r="F235" s="21"/>
    </row>
    <row r="236" spans="1:6" x14ac:dyDescent="0.25">
      <c r="A236" s="12">
        <v>10.3</v>
      </c>
      <c r="B236" s="19" t="s">
        <v>160</v>
      </c>
      <c r="C236" s="14"/>
      <c r="D236" s="12"/>
      <c r="E236" s="21"/>
      <c r="F236" s="21"/>
    </row>
    <row r="237" spans="1:6" x14ac:dyDescent="0.25">
      <c r="A237" s="12">
        <v>10.4</v>
      </c>
      <c r="B237" s="19" t="s">
        <v>161</v>
      </c>
      <c r="C237" s="14"/>
      <c r="D237" s="12"/>
      <c r="E237" s="21"/>
      <c r="F237" s="21"/>
    </row>
    <row r="238" spans="1:6" x14ac:dyDescent="0.25">
      <c r="A238" s="12">
        <v>11</v>
      </c>
      <c r="B238" s="26" t="s">
        <v>53</v>
      </c>
      <c r="C238" s="14"/>
      <c r="D238" s="12"/>
      <c r="E238" s="15"/>
      <c r="F238" s="16"/>
    </row>
    <row r="239" spans="1:6" ht="47.25" x14ac:dyDescent="0.25">
      <c r="A239" s="12"/>
      <c r="B239" s="19" t="s">
        <v>54</v>
      </c>
      <c r="C239" s="14">
        <v>1</v>
      </c>
      <c r="D239" s="12" t="s">
        <v>28</v>
      </c>
      <c r="E239" s="21">
        <f>((15*9500+5000+45000*3*1.54)*1.3)/510</f>
        <v>905.92156862745094</v>
      </c>
      <c r="F239" s="21">
        <f>C239*E239</f>
        <v>905.92156862745094</v>
      </c>
    </row>
    <row r="240" spans="1:6" ht="31.5" x14ac:dyDescent="0.25">
      <c r="A240" s="12">
        <v>7.1</v>
      </c>
      <c r="B240" s="19" t="s">
        <v>55</v>
      </c>
      <c r="C240" s="14">
        <v>45</v>
      </c>
      <c r="D240" s="12" t="s">
        <v>56</v>
      </c>
      <c r="E240" s="21">
        <v>7.5</v>
      </c>
      <c r="F240" s="21">
        <f>C240*E240</f>
        <v>337.5</v>
      </c>
    </row>
    <row r="241" spans="1:6" ht="44.45" customHeight="1" x14ac:dyDescent="0.25">
      <c r="A241" s="12">
        <v>7.2</v>
      </c>
      <c r="B241" s="19" t="s">
        <v>57</v>
      </c>
      <c r="C241" s="14">
        <v>1</v>
      </c>
      <c r="D241" s="12" t="s">
        <v>28</v>
      </c>
      <c r="E241" s="21">
        <f>((60000+5000+45000*1.54)*1.3)/510+0.16</f>
        <v>342.49333333333334</v>
      </c>
      <c r="F241" s="21">
        <f>C241*E241</f>
        <v>342.49333333333334</v>
      </c>
    </row>
    <row r="242" spans="1:6" x14ac:dyDescent="0.25">
      <c r="A242" s="12">
        <v>8</v>
      </c>
      <c r="B242" s="26" t="s">
        <v>59</v>
      </c>
      <c r="C242" s="14"/>
      <c r="D242" s="12"/>
      <c r="E242" s="15"/>
      <c r="F242" s="16">
        <f t="shared" ref="F242" si="23">C242*E242</f>
        <v>0</v>
      </c>
    </row>
    <row r="243" spans="1:6" ht="63" x14ac:dyDescent="0.25">
      <c r="A243" s="12">
        <v>8.1</v>
      </c>
      <c r="B243" s="19" t="s">
        <v>152</v>
      </c>
      <c r="C243" s="14">
        <v>11</v>
      </c>
      <c r="D243" s="12" t="s">
        <v>28</v>
      </c>
      <c r="E243" s="21">
        <f>E228</f>
        <v>290.39999999999998</v>
      </c>
      <c r="F243" s="21">
        <f>E243*C243</f>
        <v>3194.3999999999996</v>
      </c>
    </row>
    <row r="244" spans="1:6" ht="36.75" customHeight="1" x14ac:dyDescent="0.25">
      <c r="A244" s="12">
        <v>8.1999999999999993</v>
      </c>
      <c r="B244" s="19" t="s">
        <v>60</v>
      </c>
      <c r="C244" s="14">
        <f>C243</f>
        <v>11</v>
      </c>
      <c r="D244" s="12" t="s">
        <v>28</v>
      </c>
      <c r="E244" s="21">
        <v>14.71</v>
      </c>
      <c r="F244" s="21">
        <f>+E244*C244</f>
        <v>161.81</v>
      </c>
    </row>
    <row r="245" spans="1:6" x14ac:dyDescent="0.25">
      <c r="A245" s="12">
        <v>8.3000000000000007</v>
      </c>
      <c r="B245" s="19" t="s">
        <v>46</v>
      </c>
      <c r="C245" s="14">
        <f>C243</f>
        <v>11</v>
      </c>
      <c r="D245" s="12" t="s">
        <v>28</v>
      </c>
      <c r="E245" s="21">
        <v>20</v>
      </c>
      <c r="F245" s="21">
        <f>+E245*C245</f>
        <v>220</v>
      </c>
    </row>
    <row r="246" spans="1:6" x14ac:dyDescent="0.25">
      <c r="A246" s="12">
        <v>8.4</v>
      </c>
      <c r="B246" s="19" t="s">
        <v>47</v>
      </c>
      <c r="C246" s="14">
        <f>C243</f>
        <v>11</v>
      </c>
      <c r="D246" s="12" t="s">
        <v>28</v>
      </c>
      <c r="E246" s="21">
        <v>15</v>
      </c>
      <c r="F246" s="21">
        <f>+E246*C246</f>
        <v>165</v>
      </c>
    </row>
    <row r="247" spans="1:6" x14ac:dyDescent="0.25">
      <c r="A247" s="12">
        <v>8.5</v>
      </c>
      <c r="B247" s="19" t="s">
        <v>48</v>
      </c>
      <c r="C247" s="14">
        <f>C243</f>
        <v>11</v>
      </c>
      <c r="D247" s="12" t="s">
        <v>28</v>
      </c>
      <c r="E247" s="21">
        <v>65</v>
      </c>
      <c r="F247" s="21">
        <f>+E247*C247</f>
        <v>715</v>
      </c>
    </row>
    <row r="248" spans="1:6" x14ac:dyDescent="0.25">
      <c r="A248" s="12" t="s">
        <v>61</v>
      </c>
      <c r="B248" s="19" t="s">
        <v>62</v>
      </c>
      <c r="C248" s="14"/>
      <c r="D248" s="12"/>
      <c r="E248" s="21"/>
      <c r="F248" s="21"/>
    </row>
    <row r="249" spans="1:6" ht="44.45" customHeight="1" x14ac:dyDescent="0.25">
      <c r="A249" s="12">
        <v>9</v>
      </c>
      <c r="B249" s="28" t="s">
        <v>63</v>
      </c>
      <c r="C249" s="25"/>
      <c r="D249" s="12"/>
      <c r="E249" s="15"/>
      <c r="F249" s="16"/>
    </row>
    <row r="250" spans="1:6" ht="63" x14ac:dyDescent="0.25">
      <c r="A250" s="12">
        <v>9.1</v>
      </c>
      <c r="B250" s="19" t="s">
        <v>152</v>
      </c>
      <c r="C250" s="14">
        <v>8</v>
      </c>
      <c r="D250" s="12" t="s">
        <v>28</v>
      </c>
      <c r="E250" s="21">
        <f>E243</f>
        <v>290.39999999999998</v>
      </c>
      <c r="F250" s="21">
        <f>E250*C250</f>
        <v>2323.1999999999998</v>
      </c>
    </row>
    <row r="251" spans="1:6" x14ac:dyDescent="0.25">
      <c r="A251" s="12">
        <v>9.1999999999999993</v>
      </c>
      <c r="B251" s="19" t="s">
        <v>64</v>
      </c>
      <c r="C251" s="14">
        <f>C250</f>
        <v>8</v>
      </c>
      <c r="D251" s="12" t="s">
        <v>28</v>
      </c>
      <c r="E251" s="21">
        <v>171.15</v>
      </c>
      <c r="F251" s="21">
        <f>E251*C251</f>
        <v>1369.2</v>
      </c>
    </row>
    <row r="252" spans="1:6" x14ac:dyDescent="0.25">
      <c r="A252" s="12">
        <v>9.3000000000000007</v>
      </c>
      <c r="B252" s="19" t="s">
        <v>60</v>
      </c>
      <c r="C252" s="14">
        <f>C250</f>
        <v>8</v>
      </c>
      <c r="D252" s="12" t="s">
        <v>28</v>
      </c>
      <c r="E252" s="21">
        <v>14.71</v>
      </c>
      <c r="F252" s="21">
        <f>E252*C252</f>
        <v>117.68</v>
      </c>
    </row>
    <row r="253" spans="1:6" x14ac:dyDescent="0.25">
      <c r="A253" s="12">
        <v>9.4</v>
      </c>
      <c r="B253" s="19" t="s">
        <v>46</v>
      </c>
      <c r="C253" s="14">
        <f>C250</f>
        <v>8</v>
      </c>
      <c r="D253" s="12" t="s">
        <v>28</v>
      </c>
      <c r="E253" s="21">
        <v>20</v>
      </c>
      <c r="F253" s="21">
        <f>+E253*C253</f>
        <v>160</v>
      </c>
    </row>
    <row r="254" spans="1:6" x14ac:dyDescent="0.25">
      <c r="A254" s="12">
        <v>9.5</v>
      </c>
      <c r="B254" s="19" t="s">
        <v>47</v>
      </c>
      <c r="C254" s="14">
        <f>C250</f>
        <v>8</v>
      </c>
      <c r="D254" s="12" t="s">
        <v>28</v>
      </c>
      <c r="E254" s="21">
        <v>15</v>
      </c>
      <c r="F254" s="21">
        <f>+E254*C254</f>
        <v>120</v>
      </c>
    </row>
    <row r="255" spans="1:6" x14ac:dyDescent="0.25">
      <c r="A255" s="12">
        <v>9.6</v>
      </c>
      <c r="B255" s="19" t="s">
        <v>48</v>
      </c>
      <c r="C255" s="14">
        <f>C250</f>
        <v>8</v>
      </c>
      <c r="D255" s="12" t="s">
        <v>28</v>
      </c>
      <c r="E255" s="21">
        <v>65</v>
      </c>
      <c r="F255" s="21">
        <f>+E255*C255</f>
        <v>520</v>
      </c>
    </row>
    <row r="256" spans="1:6" x14ac:dyDescent="0.25">
      <c r="A256" s="12">
        <v>10</v>
      </c>
      <c r="B256" s="28" t="s">
        <v>150</v>
      </c>
      <c r="C256" s="14"/>
      <c r="D256" s="12"/>
      <c r="E256" s="21"/>
      <c r="F256" s="21"/>
    </row>
    <row r="257" spans="1:6" ht="63" x14ac:dyDescent="0.25">
      <c r="A257" s="12">
        <v>10.1</v>
      </c>
      <c r="B257" s="19" t="s">
        <v>183</v>
      </c>
      <c r="C257" s="14">
        <f>9+5</f>
        <v>14</v>
      </c>
      <c r="D257" s="12" t="s">
        <v>28</v>
      </c>
      <c r="E257" s="21">
        <f>E250</f>
        <v>290.39999999999998</v>
      </c>
      <c r="F257" s="21">
        <f>E257*C257</f>
        <v>4065.5999999999995</v>
      </c>
    </row>
    <row r="258" spans="1:6" ht="44.45" customHeight="1" x14ac:dyDescent="0.25">
      <c r="A258" s="12">
        <v>11</v>
      </c>
      <c r="B258" s="28" t="s">
        <v>65</v>
      </c>
      <c r="C258" s="14"/>
      <c r="D258" s="12"/>
      <c r="E258" s="15"/>
      <c r="F258" s="16"/>
    </row>
    <row r="259" spans="1:6" ht="47.25" x14ac:dyDescent="0.25">
      <c r="A259" s="12"/>
      <c r="B259" s="19" t="s">
        <v>66</v>
      </c>
      <c r="C259" s="29"/>
      <c r="D259" s="12"/>
      <c r="E259" s="15"/>
      <c r="F259" s="16"/>
    </row>
    <row r="260" spans="1:6" ht="31.5" x14ac:dyDescent="0.25">
      <c r="A260" s="12">
        <v>11.1</v>
      </c>
      <c r="B260" s="19" t="s">
        <v>67</v>
      </c>
      <c r="C260" s="44">
        <v>200</v>
      </c>
      <c r="D260" s="73" t="s">
        <v>68</v>
      </c>
      <c r="E260" s="21">
        <v>13.61</v>
      </c>
      <c r="F260" s="21">
        <f>C260*E260</f>
        <v>2722</v>
      </c>
    </row>
    <row r="261" spans="1:6" ht="31.5" x14ac:dyDescent="0.25">
      <c r="A261" s="12">
        <v>11.2</v>
      </c>
      <c r="B261" s="19" t="s">
        <v>69</v>
      </c>
      <c r="C261" s="44">
        <v>27</v>
      </c>
      <c r="D261" s="73" t="s">
        <v>28</v>
      </c>
      <c r="E261" s="21">
        <f>F261/C261</f>
        <v>210.8940740740741</v>
      </c>
      <c r="F261" s="21">
        <v>5694.14</v>
      </c>
    </row>
    <row r="262" spans="1:6" x14ac:dyDescent="0.25">
      <c r="A262" s="12">
        <v>11.3</v>
      </c>
      <c r="B262" s="19" t="s">
        <v>70</v>
      </c>
      <c r="C262" s="44">
        <v>0</v>
      </c>
      <c r="D262" s="73" t="s">
        <v>28</v>
      </c>
      <c r="E262" s="21">
        <v>0</v>
      </c>
      <c r="F262" s="21">
        <f>C262*E262</f>
        <v>0</v>
      </c>
    </row>
    <row r="263" spans="1:6" x14ac:dyDescent="0.25">
      <c r="A263" s="12">
        <v>11.4</v>
      </c>
      <c r="B263" s="19" t="s">
        <v>71</v>
      </c>
      <c r="C263" s="44">
        <v>27</v>
      </c>
      <c r="D263" s="73" t="s">
        <v>28</v>
      </c>
      <c r="E263" s="21">
        <f>235.29*1.13/C263</f>
        <v>9.8473222222222194</v>
      </c>
      <c r="F263" s="21">
        <f>C263*E263</f>
        <v>265.87769999999995</v>
      </c>
    </row>
    <row r="264" spans="1:6" x14ac:dyDescent="0.25">
      <c r="A264" s="12">
        <v>12</v>
      </c>
      <c r="B264" s="28" t="s">
        <v>72</v>
      </c>
      <c r="C264" s="14"/>
      <c r="D264" s="12"/>
      <c r="E264" s="21"/>
      <c r="F264" s="16"/>
    </row>
    <row r="265" spans="1:6" ht="31.5" x14ac:dyDescent="0.25">
      <c r="A265" s="12">
        <v>12.1</v>
      </c>
      <c r="B265" s="19" t="s">
        <v>73</v>
      </c>
      <c r="C265" s="14">
        <f>C213+C222+C196</f>
        <v>30</v>
      </c>
      <c r="D265" s="12" t="s">
        <v>28</v>
      </c>
      <c r="E265" s="21">
        <v>6.35</v>
      </c>
      <c r="F265" s="21">
        <f>C265*E265</f>
        <v>190.5</v>
      </c>
    </row>
    <row r="266" spans="1:6" x14ac:dyDescent="0.25">
      <c r="A266" s="12">
        <v>13</v>
      </c>
      <c r="B266" s="71" t="s">
        <v>74</v>
      </c>
      <c r="C266" s="29" t="s">
        <v>35</v>
      </c>
      <c r="D266" s="12"/>
      <c r="E266" s="21"/>
      <c r="F266" s="21"/>
    </row>
    <row r="267" spans="1:6" x14ac:dyDescent="0.25">
      <c r="A267" s="12">
        <v>13.1</v>
      </c>
      <c r="B267" s="72" t="s">
        <v>75</v>
      </c>
      <c r="C267" s="29"/>
      <c r="D267" s="12"/>
      <c r="E267" s="21"/>
      <c r="F267" s="21"/>
    </row>
    <row r="268" spans="1:6" x14ac:dyDescent="0.25">
      <c r="A268" s="12">
        <v>13.2</v>
      </c>
      <c r="B268" s="72" t="s">
        <v>76</v>
      </c>
      <c r="C268" s="29"/>
      <c r="D268" s="12"/>
      <c r="E268" s="21"/>
      <c r="F268" s="21"/>
    </row>
    <row r="269" spans="1:6" x14ac:dyDescent="0.25">
      <c r="A269" s="12">
        <v>14</v>
      </c>
      <c r="B269" s="71" t="s">
        <v>77</v>
      </c>
      <c r="C269" s="29" t="s">
        <v>35</v>
      </c>
      <c r="D269" s="12"/>
      <c r="E269" s="21"/>
      <c r="F269" s="21"/>
    </row>
    <row r="270" spans="1:6" x14ac:dyDescent="0.25">
      <c r="A270" s="12">
        <v>14.1</v>
      </c>
      <c r="B270" s="19" t="s">
        <v>78</v>
      </c>
      <c r="C270" s="29"/>
      <c r="D270" s="12"/>
      <c r="E270" s="21"/>
      <c r="F270" s="21"/>
    </row>
    <row r="271" spans="1:6" x14ac:dyDescent="0.25">
      <c r="A271" s="12">
        <v>15</v>
      </c>
      <c r="B271" s="28" t="s">
        <v>163</v>
      </c>
      <c r="C271" s="29">
        <v>1</v>
      </c>
      <c r="D271" s="12" t="s">
        <v>28</v>
      </c>
      <c r="E271" s="21">
        <v>7505</v>
      </c>
      <c r="F271" s="21">
        <f t="shared" ref="F271" si="24">E271</f>
        <v>7505</v>
      </c>
    </row>
    <row r="272" spans="1:6" x14ac:dyDescent="0.25">
      <c r="A272" s="12">
        <v>15.1</v>
      </c>
      <c r="B272" s="19" t="s">
        <v>165</v>
      </c>
      <c r="C272" s="29"/>
      <c r="D272" s="12"/>
      <c r="E272" s="21"/>
      <c r="F272" s="21"/>
    </row>
    <row r="273" spans="1:6" x14ac:dyDescent="0.25">
      <c r="A273" s="12">
        <v>15.2</v>
      </c>
      <c r="B273" s="19" t="s">
        <v>164</v>
      </c>
      <c r="C273" s="29"/>
      <c r="D273" s="12"/>
      <c r="E273" s="21"/>
      <c r="F273" s="21"/>
    </row>
    <row r="274" spans="1:6" x14ac:dyDescent="0.25">
      <c r="A274" s="12"/>
      <c r="B274" s="19"/>
      <c r="C274" s="29"/>
      <c r="D274" s="12"/>
      <c r="E274" s="21"/>
      <c r="F274" s="21"/>
    </row>
    <row r="275" spans="1:6" ht="44.45" customHeight="1" x14ac:dyDescent="0.25">
      <c r="A275" s="12"/>
      <c r="B275" s="19"/>
      <c r="C275" s="29"/>
      <c r="D275" s="12"/>
      <c r="E275" s="21"/>
      <c r="F275" s="21"/>
    </row>
    <row r="276" spans="1:6" x14ac:dyDescent="0.25">
      <c r="A276" s="12"/>
      <c r="B276" s="19"/>
      <c r="C276" s="14"/>
      <c r="D276" s="12"/>
      <c r="E276" s="15"/>
      <c r="F276" s="16"/>
    </row>
    <row r="277" spans="1:6" x14ac:dyDescent="0.25">
      <c r="A277" s="54" t="s">
        <v>103</v>
      </c>
      <c r="B277" s="55"/>
      <c r="C277" s="55"/>
      <c r="D277" s="55"/>
      <c r="E277" s="56"/>
      <c r="F277" s="30">
        <f>SUM(F196:F276)</f>
        <v>210331.31730784316</v>
      </c>
    </row>
    <row r="278" spans="1:6" x14ac:dyDescent="0.25">
      <c r="A278" s="12"/>
      <c r="B278" s="19"/>
      <c r="C278" s="14"/>
      <c r="D278" s="12"/>
      <c r="E278" s="15"/>
      <c r="F278" s="16"/>
    </row>
    <row r="279" spans="1:6" ht="18.75" x14ac:dyDescent="0.25">
      <c r="A279" s="50" t="s">
        <v>104</v>
      </c>
      <c r="B279" s="50"/>
      <c r="C279" s="50"/>
      <c r="D279" s="50"/>
      <c r="E279" s="50"/>
      <c r="F279" s="50"/>
    </row>
    <row r="280" spans="1:6" x14ac:dyDescent="0.25">
      <c r="A280" s="52" t="s">
        <v>105</v>
      </c>
      <c r="B280" s="52"/>
      <c r="C280" s="52"/>
      <c r="D280" s="52"/>
      <c r="E280" s="52"/>
      <c r="F280" s="52"/>
    </row>
    <row r="281" spans="1:6" x14ac:dyDescent="0.25">
      <c r="A281" s="9" t="s">
        <v>7</v>
      </c>
      <c r="B281" s="9" t="s">
        <v>8</v>
      </c>
      <c r="C281" s="10" t="s">
        <v>9</v>
      </c>
      <c r="D281" s="9" t="s">
        <v>10</v>
      </c>
      <c r="E281" s="11" t="s">
        <v>11</v>
      </c>
      <c r="F281" s="11" t="s">
        <v>12</v>
      </c>
    </row>
    <row r="282" spans="1:6" x14ac:dyDescent="0.25">
      <c r="A282" s="12">
        <v>1</v>
      </c>
      <c r="B282" s="13" t="s">
        <v>106</v>
      </c>
      <c r="C282" s="14"/>
      <c r="D282" s="12"/>
      <c r="E282" s="15"/>
      <c r="F282" s="16">
        <f t="shared" ref="F282" si="25">C282*E282</f>
        <v>0</v>
      </c>
    </row>
    <row r="283" spans="1:6" ht="63" x14ac:dyDescent="0.25">
      <c r="A283" s="12">
        <v>1.1000000000000001</v>
      </c>
      <c r="B283" s="17" t="s">
        <v>107</v>
      </c>
      <c r="C283" s="25">
        <v>1</v>
      </c>
      <c r="D283" s="12" t="s">
        <v>28</v>
      </c>
      <c r="E283" s="21">
        <v>380</v>
      </c>
      <c r="F283" s="21">
        <f t="shared" ref="F283:F286" si="26">E283*C283</f>
        <v>380</v>
      </c>
    </row>
    <row r="284" spans="1:6" x14ac:dyDescent="0.25">
      <c r="A284" s="12">
        <v>2</v>
      </c>
      <c r="B284" s="13" t="s">
        <v>108</v>
      </c>
      <c r="C284" s="25"/>
      <c r="D284" s="12"/>
      <c r="E284" s="15"/>
      <c r="F284" s="21"/>
    </row>
    <row r="285" spans="1:6" ht="63" x14ac:dyDescent="0.25">
      <c r="A285" s="12">
        <v>2.1</v>
      </c>
      <c r="B285" s="17" t="s">
        <v>109</v>
      </c>
      <c r="C285" s="25">
        <v>1</v>
      </c>
      <c r="D285" s="12" t="s">
        <v>28</v>
      </c>
      <c r="E285" s="21">
        <f>((5*16000+15*4*2350+30000)+200000+60000+(45000)*10*1.54)*1.3/510</f>
        <v>3069.0196078431372</v>
      </c>
      <c r="F285" s="21">
        <f t="shared" si="26"/>
        <v>3069.0196078431372</v>
      </c>
    </row>
    <row r="286" spans="1:6" ht="78.75" x14ac:dyDescent="0.25">
      <c r="A286" s="12"/>
      <c r="B286" s="17" t="s">
        <v>84</v>
      </c>
      <c r="C286" s="25"/>
      <c r="D286" s="12"/>
      <c r="E286" s="15"/>
      <c r="F286" s="21">
        <f t="shared" si="26"/>
        <v>0</v>
      </c>
    </row>
    <row r="287" spans="1:6" x14ac:dyDescent="0.25">
      <c r="A287" s="12">
        <v>3</v>
      </c>
      <c r="B287" s="13" t="s">
        <v>26</v>
      </c>
      <c r="C287" s="25"/>
      <c r="D287" s="12"/>
      <c r="E287" s="15"/>
      <c r="F287" s="16">
        <f>C287*E287</f>
        <v>0</v>
      </c>
    </row>
    <row r="288" spans="1:6" ht="31.5" x14ac:dyDescent="0.25">
      <c r="A288" s="12">
        <v>3.1</v>
      </c>
      <c r="B288" s="23" t="s">
        <v>110</v>
      </c>
      <c r="C288" s="25">
        <f>SUM(C291:C294)+26</f>
        <v>73</v>
      </c>
      <c r="D288" s="12" t="s">
        <v>28</v>
      </c>
      <c r="E288" s="21">
        <v>4.5</v>
      </c>
      <c r="F288" s="18">
        <f>C288*E288</f>
        <v>328.5</v>
      </c>
    </row>
    <row r="289" spans="1:6" ht="47.25" x14ac:dyDescent="0.25">
      <c r="A289" s="12">
        <v>3.2</v>
      </c>
      <c r="B289" s="19" t="s">
        <v>34</v>
      </c>
      <c r="C289" s="25">
        <f>9+2</f>
        <v>11</v>
      </c>
      <c r="D289" s="12" t="s">
        <v>28</v>
      </c>
      <c r="E289" s="21">
        <v>25.08</v>
      </c>
      <c r="F289" s="18">
        <f>C289*E289</f>
        <v>275.88</v>
      </c>
    </row>
    <row r="290" spans="1:6" ht="31.5" x14ac:dyDescent="0.25">
      <c r="A290" s="12">
        <v>4</v>
      </c>
      <c r="B290" s="13" t="s">
        <v>111</v>
      </c>
      <c r="C290" s="25"/>
      <c r="D290" s="12"/>
      <c r="E290" s="21"/>
      <c r="F290" s="16"/>
    </row>
    <row r="291" spans="1:6" x14ac:dyDescent="0.25">
      <c r="A291" s="12">
        <v>4.0999999999999996</v>
      </c>
      <c r="B291" s="19" t="s">
        <v>112</v>
      </c>
      <c r="C291" s="25">
        <v>20</v>
      </c>
      <c r="D291" s="12" t="s">
        <v>28</v>
      </c>
      <c r="E291" s="21">
        <v>102.79411764705881</v>
      </c>
      <c r="F291" s="21">
        <f>E291*C291</f>
        <v>2055.8823529411761</v>
      </c>
    </row>
    <row r="292" spans="1:6" x14ac:dyDescent="0.25">
      <c r="A292" s="12">
        <v>4.2</v>
      </c>
      <c r="B292" s="19" t="s">
        <v>113</v>
      </c>
      <c r="C292" s="25">
        <v>8</v>
      </c>
      <c r="D292" s="12" t="s">
        <v>28</v>
      </c>
      <c r="E292" s="21">
        <v>210.19411764705882</v>
      </c>
      <c r="F292" s="21">
        <f>E292*C292</f>
        <v>1681.5529411764705</v>
      </c>
    </row>
    <row r="293" spans="1:6" ht="36" customHeight="1" x14ac:dyDescent="0.25">
      <c r="A293" s="12">
        <v>4.3</v>
      </c>
      <c r="B293" s="19" t="s">
        <v>114</v>
      </c>
      <c r="C293" s="25">
        <v>9</v>
      </c>
      <c r="D293" s="12" t="s">
        <v>28</v>
      </c>
      <c r="E293" s="21">
        <v>65.661764705882348</v>
      </c>
      <c r="F293" s="21">
        <f>C293*E293</f>
        <v>590.9558823529411</v>
      </c>
    </row>
    <row r="294" spans="1:6" x14ac:dyDescent="0.25">
      <c r="A294" s="12">
        <v>4.4000000000000004</v>
      </c>
      <c r="B294" s="19" t="s">
        <v>115</v>
      </c>
      <c r="C294" s="25">
        <v>10</v>
      </c>
      <c r="D294" s="12" t="s">
        <v>28</v>
      </c>
      <c r="E294" s="21">
        <v>162.79411764705881</v>
      </c>
      <c r="F294" s="21">
        <f>C294*E294</f>
        <v>1627.9411764705881</v>
      </c>
    </row>
    <row r="295" spans="1:6" x14ac:dyDescent="0.25">
      <c r="A295" s="12">
        <v>4.5</v>
      </c>
      <c r="B295" s="19" t="s">
        <v>185</v>
      </c>
      <c r="C295" s="25">
        <v>7</v>
      </c>
      <c r="D295" s="12" t="s">
        <v>28</v>
      </c>
      <c r="E295" s="21">
        <v>82.65</v>
      </c>
      <c r="F295" s="21">
        <f>C295*E295</f>
        <v>578.55000000000007</v>
      </c>
    </row>
    <row r="296" spans="1:6" ht="31.5" x14ac:dyDescent="0.25">
      <c r="A296" s="12">
        <v>4.5999999999999996</v>
      </c>
      <c r="B296" s="19" t="s">
        <v>116</v>
      </c>
      <c r="C296" s="25">
        <v>5</v>
      </c>
      <c r="D296" s="12" t="s">
        <v>28</v>
      </c>
      <c r="E296" s="21">
        <v>895.46</v>
      </c>
      <c r="F296" s="21">
        <f>C296*E296</f>
        <v>4477.3</v>
      </c>
    </row>
    <row r="297" spans="1:6" x14ac:dyDescent="0.25">
      <c r="A297" s="12">
        <v>5</v>
      </c>
      <c r="B297" s="13" t="s">
        <v>37</v>
      </c>
      <c r="C297" s="25"/>
      <c r="D297" s="12"/>
      <c r="E297" s="21"/>
      <c r="F297" s="16"/>
    </row>
    <row r="298" spans="1:6" ht="78.75" x14ac:dyDescent="0.25">
      <c r="A298" s="12">
        <v>5.0999999999999996</v>
      </c>
      <c r="B298" s="17" t="s">
        <v>93</v>
      </c>
      <c r="C298" s="25" t="s">
        <v>35</v>
      </c>
      <c r="D298" s="12"/>
      <c r="E298" s="15"/>
      <c r="F298" s="16"/>
    </row>
    <row r="299" spans="1:6" ht="47.25" x14ac:dyDescent="0.25">
      <c r="A299" s="12">
        <v>5.2</v>
      </c>
      <c r="B299" s="19" t="s">
        <v>34</v>
      </c>
      <c r="C299" s="25">
        <f>13+9</f>
        <v>22</v>
      </c>
      <c r="D299" s="12" t="s">
        <v>94</v>
      </c>
      <c r="E299" s="21">
        <f>25.08*1.5</f>
        <v>37.619999999999997</v>
      </c>
      <c r="F299" s="21">
        <f>C299*E299</f>
        <v>827.64</v>
      </c>
    </row>
    <row r="300" spans="1:6" x14ac:dyDescent="0.25">
      <c r="A300" s="12">
        <v>6</v>
      </c>
      <c r="B300" s="13" t="s">
        <v>39</v>
      </c>
      <c r="C300" s="25"/>
      <c r="D300" s="12"/>
      <c r="E300" s="21"/>
      <c r="F300" s="21"/>
    </row>
    <row r="301" spans="1:6" ht="63" x14ac:dyDescent="0.25">
      <c r="A301" s="12">
        <v>6.1</v>
      </c>
      <c r="B301" s="19" t="s">
        <v>117</v>
      </c>
      <c r="C301" s="25">
        <v>15</v>
      </c>
      <c r="D301" s="12" t="s">
        <v>28</v>
      </c>
      <c r="E301" s="21">
        <v>350.56</v>
      </c>
      <c r="F301" s="21">
        <f>E301*C301</f>
        <v>5258.4</v>
      </c>
    </row>
    <row r="302" spans="1:6" ht="78.75" x14ac:dyDescent="0.25">
      <c r="A302" s="12">
        <v>6.2</v>
      </c>
      <c r="B302" s="19" t="s">
        <v>96</v>
      </c>
      <c r="C302" s="25">
        <f>55+21</f>
        <v>76</v>
      </c>
      <c r="D302" s="12" t="s">
        <v>28</v>
      </c>
      <c r="E302" s="21">
        <v>5</v>
      </c>
      <c r="F302" s="21">
        <f t="shared" ref="F302" si="27">C302*E302</f>
        <v>380</v>
      </c>
    </row>
    <row r="303" spans="1:6" ht="31.5" x14ac:dyDescent="0.25">
      <c r="A303" s="12">
        <v>6.3</v>
      </c>
      <c r="B303" s="19" t="s">
        <v>118</v>
      </c>
      <c r="C303" s="25">
        <f>2+1</f>
        <v>3</v>
      </c>
      <c r="D303" s="12" t="s">
        <v>28</v>
      </c>
      <c r="E303" s="21">
        <v>15</v>
      </c>
      <c r="F303" s="21">
        <f>C303*E303</f>
        <v>45</v>
      </c>
    </row>
    <row r="304" spans="1:6" x14ac:dyDescent="0.25">
      <c r="A304" s="12">
        <v>7</v>
      </c>
      <c r="B304" s="26" t="s">
        <v>119</v>
      </c>
      <c r="C304" s="25">
        <v>4</v>
      </c>
      <c r="D304" s="12" t="s">
        <v>28</v>
      </c>
      <c r="E304" s="21"/>
      <c r="F304" s="21">
        <f t="shared" ref="F304" si="28">C304*E304</f>
        <v>0</v>
      </c>
    </row>
    <row r="305" spans="1:6" ht="94.5" x14ac:dyDescent="0.25">
      <c r="A305" s="12">
        <v>7.1</v>
      </c>
      <c r="B305" s="19" t="s">
        <v>184</v>
      </c>
      <c r="C305" s="25"/>
      <c r="D305" s="12"/>
      <c r="E305" s="21"/>
      <c r="F305" s="21"/>
    </row>
    <row r="306" spans="1:6" x14ac:dyDescent="0.25">
      <c r="A306" s="12">
        <v>7.2</v>
      </c>
      <c r="B306" s="19" t="s">
        <v>120</v>
      </c>
      <c r="C306" s="25">
        <v>1</v>
      </c>
      <c r="D306" s="12" t="s">
        <v>28</v>
      </c>
      <c r="E306" s="21">
        <f>524*1.13*1.3</f>
        <v>769.75599999999986</v>
      </c>
      <c r="F306" s="21">
        <f>C306*E306</f>
        <v>769.75599999999986</v>
      </c>
    </row>
    <row r="307" spans="1:6" ht="44.45" customHeight="1" x14ac:dyDescent="0.25">
      <c r="A307" s="12">
        <v>7.3</v>
      </c>
      <c r="B307" s="19" t="s">
        <v>121</v>
      </c>
      <c r="C307" s="25">
        <v>1</v>
      </c>
      <c r="D307" s="12" t="s">
        <v>28</v>
      </c>
      <c r="E307" s="21">
        <f>330.45*1.13*1.3</f>
        <v>485.43104999999997</v>
      </c>
      <c r="F307" s="21">
        <f>C307*E307</f>
        <v>485.43104999999997</v>
      </c>
    </row>
    <row r="308" spans="1:6" x14ac:dyDescent="0.25">
      <c r="A308" s="12">
        <v>7.4</v>
      </c>
      <c r="B308" s="19" t="s">
        <v>122</v>
      </c>
      <c r="C308" s="25">
        <v>1</v>
      </c>
      <c r="D308" s="12" t="s">
        <v>28</v>
      </c>
      <c r="E308" s="21">
        <f>330*1.13*1.3</f>
        <v>484.77</v>
      </c>
      <c r="F308" s="21">
        <f>C308*E308</f>
        <v>484.77</v>
      </c>
    </row>
    <row r="309" spans="1:6" x14ac:dyDescent="0.25">
      <c r="A309" s="12">
        <v>7.5</v>
      </c>
      <c r="B309" s="19" t="s">
        <v>153</v>
      </c>
      <c r="C309" s="25">
        <v>1</v>
      </c>
      <c r="D309" s="12" t="s">
        <v>28</v>
      </c>
      <c r="E309" s="21">
        <v>556.34</v>
      </c>
      <c r="F309" s="21">
        <f>C309*E309</f>
        <v>556.34</v>
      </c>
    </row>
    <row r="310" spans="1:6" x14ac:dyDescent="0.25">
      <c r="A310" s="12">
        <v>8</v>
      </c>
      <c r="B310" s="13" t="s">
        <v>43</v>
      </c>
      <c r="C310" s="25"/>
      <c r="D310" s="12"/>
      <c r="E310" s="21"/>
      <c r="F310" s="21"/>
    </row>
    <row r="311" spans="1:6" ht="63" x14ac:dyDescent="0.25">
      <c r="A311" s="12">
        <v>8.1</v>
      </c>
      <c r="B311" s="19" t="s">
        <v>151</v>
      </c>
      <c r="C311" s="25">
        <f>14+10</f>
        <v>24</v>
      </c>
      <c r="D311" s="12" t="s">
        <v>28</v>
      </c>
      <c r="E311" s="21">
        <v>240.73</v>
      </c>
      <c r="F311" s="21">
        <f>C311*E311</f>
        <v>5777.5199999999995</v>
      </c>
    </row>
    <row r="312" spans="1:6" x14ac:dyDescent="0.25">
      <c r="A312" s="12">
        <v>8.1999999999999993</v>
      </c>
      <c r="B312" s="19" t="s">
        <v>45</v>
      </c>
      <c r="C312" s="25">
        <f>14+10</f>
        <v>24</v>
      </c>
      <c r="D312" s="12" t="s">
        <v>28</v>
      </c>
      <c r="E312" s="21">
        <f>7500/510</f>
        <v>14.705882352941176</v>
      </c>
      <c r="F312" s="21">
        <f>+E312*C312</f>
        <v>352.94117647058823</v>
      </c>
    </row>
    <row r="313" spans="1:6" x14ac:dyDescent="0.25">
      <c r="A313" s="12">
        <v>8.3000000000000007</v>
      </c>
      <c r="B313" s="19" t="s">
        <v>46</v>
      </c>
      <c r="C313" s="25">
        <f>14+10</f>
        <v>24</v>
      </c>
      <c r="D313" s="12" t="s">
        <v>28</v>
      </c>
      <c r="E313" s="21">
        <v>20</v>
      </c>
      <c r="F313" s="21">
        <f t="shared" ref="F313:F315" si="29">+E313*C313</f>
        <v>480</v>
      </c>
    </row>
    <row r="314" spans="1:6" x14ac:dyDescent="0.25">
      <c r="A314" s="12">
        <v>8.4</v>
      </c>
      <c r="B314" s="19" t="s">
        <v>47</v>
      </c>
      <c r="C314" s="25">
        <f>14+10</f>
        <v>24</v>
      </c>
      <c r="D314" s="12" t="s">
        <v>28</v>
      </c>
      <c r="E314" s="21">
        <v>15</v>
      </c>
      <c r="F314" s="21">
        <f t="shared" si="29"/>
        <v>360</v>
      </c>
    </row>
    <row r="315" spans="1:6" x14ac:dyDescent="0.25">
      <c r="A315" s="12">
        <v>8.5</v>
      </c>
      <c r="B315" s="19" t="s">
        <v>48</v>
      </c>
      <c r="C315" s="25">
        <f>14+10</f>
        <v>24</v>
      </c>
      <c r="D315" s="12" t="s">
        <v>28</v>
      </c>
      <c r="E315" s="21">
        <v>65</v>
      </c>
      <c r="F315" s="21">
        <f t="shared" si="29"/>
        <v>1560</v>
      </c>
    </row>
    <row r="316" spans="1:6" x14ac:dyDescent="0.25">
      <c r="A316" s="12">
        <v>8.6</v>
      </c>
      <c r="B316" s="19" t="s">
        <v>158</v>
      </c>
      <c r="C316" s="14">
        <v>3</v>
      </c>
      <c r="D316" s="12" t="s">
        <v>28</v>
      </c>
      <c r="E316" s="21">
        <f>(18000/510)*1.3</f>
        <v>45.882352941176478</v>
      </c>
      <c r="F316" s="21">
        <f>C316*E316</f>
        <v>137.64705882352945</v>
      </c>
    </row>
    <row r="317" spans="1:6" x14ac:dyDescent="0.25">
      <c r="A317" s="12">
        <v>8.6999999999999993</v>
      </c>
      <c r="B317" s="19" t="s">
        <v>159</v>
      </c>
      <c r="C317" s="14">
        <v>1</v>
      </c>
      <c r="D317" s="12" t="s">
        <v>28</v>
      </c>
      <c r="E317" s="21">
        <f>127.07*3</f>
        <v>381.21</v>
      </c>
      <c r="F317" s="21">
        <f>C317*E317</f>
        <v>381.21</v>
      </c>
    </row>
    <row r="318" spans="1:6" x14ac:dyDescent="0.25">
      <c r="A318" s="12">
        <v>9</v>
      </c>
      <c r="B318" s="13" t="s">
        <v>49</v>
      </c>
      <c r="C318" s="25"/>
      <c r="D318" s="12"/>
      <c r="E318" s="15"/>
      <c r="F318" s="16"/>
    </row>
    <row r="319" spans="1:6" ht="78.75" x14ac:dyDescent="0.25">
      <c r="A319" s="12">
        <v>9.1</v>
      </c>
      <c r="B319" s="19" t="s">
        <v>50</v>
      </c>
      <c r="C319" s="25">
        <f>15+12</f>
        <v>27</v>
      </c>
      <c r="D319" s="12" t="s">
        <v>28</v>
      </c>
      <c r="E319" s="21">
        <v>21.5</v>
      </c>
      <c r="F319" s="21">
        <f>C319*E319</f>
        <v>580.5</v>
      </c>
    </row>
    <row r="320" spans="1:6" x14ac:dyDescent="0.25">
      <c r="A320" s="12">
        <v>10</v>
      </c>
      <c r="B320" s="13" t="s">
        <v>51</v>
      </c>
      <c r="C320" s="25"/>
      <c r="D320" s="12"/>
      <c r="E320" s="15"/>
      <c r="F320" s="16"/>
    </row>
    <row r="321" spans="1:6" x14ac:dyDescent="0.25">
      <c r="A321" s="12">
        <v>10.1</v>
      </c>
      <c r="B321" s="19" t="s">
        <v>52</v>
      </c>
      <c r="C321" s="25">
        <v>1</v>
      </c>
      <c r="D321" s="12" t="s">
        <v>28</v>
      </c>
      <c r="E321" s="21">
        <v>14300</v>
      </c>
      <c r="F321" s="21">
        <f>C321*E321</f>
        <v>14300</v>
      </c>
    </row>
    <row r="322" spans="1:6" ht="44.45" customHeight="1" x14ac:dyDescent="0.25">
      <c r="A322" s="12">
        <v>11</v>
      </c>
      <c r="B322" s="26" t="s">
        <v>53</v>
      </c>
      <c r="C322" s="25"/>
      <c r="D322" s="12"/>
      <c r="E322" s="15"/>
      <c r="F322" s="16"/>
    </row>
    <row r="323" spans="1:6" ht="47.25" x14ac:dyDescent="0.25">
      <c r="A323" s="12">
        <v>11.1</v>
      </c>
      <c r="B323" s="19" t="s">
        <v>54</v>
      </c>
      <c r="C323" s="25">
        <v>1</v>
      </c>
      <c r="D323" s="12" t="s">
        <v>28</v>
      </c>
      <c r="E323" s="21">
        <f>((10*9500+5000+45000*2*1.54)*1.3)/510</f>
        <v>608.1960784313726</v>
      </c>
      <c r="F323" s="21">
        <f>C323*E323</f>
        <v>608.1960784313726</v>
      </c>
    </row>
    <row r="324" spans="1:6" ht="31.5" x14ac:dyDescent="0.25">
      <c r="A324" s="12">
        <v>11.2</v>
      </c>
      <c r="B324" s="19" t="s">
        <v>55</v>
      </c>
      <c r="C324" s="45">
        <v>30</v>
      </c>
      <c r="D324" s="12" t="s">
        <v>56</v>
      </c>
      <c r="E324" s="21">
        <v>7.5</v>
      </c>
      <c r="F324" s="21">
        <f>C324*E324</f>
        <v>225</v>
      </c>
    </row>
    <row r="325" spans="1:6" ht="36.75" customHeight="1" x14ac:dyDescent="0.25">
      <c r="A325" s="12">
        <v>11.3</v>
      </c>
      <c r="B325" s="19" t="s">
        <v>57</v>
      </c>
      <c r="C325" s="25">
        <v>1</v>
      </c>
      <c r="D325" s="12" t="s">
        <v>28</v>
      </c>
      <c r="E325" s="21">
        <f>((50000+5000+45000*1.54)*1.3)/510+0.16</f>
        <v>317.00313725490196</v>
      </c>
      <c r="F325" s="21">
        <f>C325*E325</f>
        <v>317.00313725490196</v>
      </c>
    </row>
    <row r="326" spans="1:6" x14ac:dyDescent="0.25">
      <c r="A326" s="12">
        <v>12</v>
      </c>
      <c r="B326" s="26" t="s">
        <v>59</v>
      </c>
      <c r="C326" s="25"/>
      <c r="D326" s="12"/>
      <c r="E326" s="15"/>
      <c r="F326" s="16">
        <f t="shared" ref="F326" si="30">C326*E326</f>
        <v>0</v>
      </c>
    </row>
    <row r="327" spans="1:6" ht="63" x14ac:dyDescent="0.25">
      <c r="A327" s="12">
        <v>12.1</v>
      </c>
      <c r="B327" s="19" t="s">
        <v>151</v>
      </c>
      <c r="C327" s="25">
        <f>2+6</f>
        <v>8</v>
      </c>
      <c r="D327" s="12" t="s">
        <v>28</v>
      </c>
      <c r="E327" s="21">
        <f>E311</f>
        <v>240.73</v>
      </c>
      <c r="F327" s="21">
        <f>E327*C327</f>
        <v>1925.84</v>
      </c>
    </row>
    <row r="328" spans="1:6" x14ac:dyDescent="0.25">
      <c r="A328" s="12">
        <v>12.2</v>
      </c>
      <c r="B328" s="19" t="s">
        <v>60</v>
      </c>
      <c r="C328" s="25">
        <f>2+6</f>
        <v>8</v>
      </c>
      <c r="D328" s="12" t="s">
        <v>28</v>
      </c>
      <c r="E328" s="21"/>
      <c r="F328" s="21"/>
    </row>
    <row r="329" spans="1:6" x14ac:dyDescent="0.25">
      <c r="A329" s="12">
        <v>12.3</v>
      </c>
      <c r="B329" s="19" t="s">
        <v>46</v>
      </c>
      <c r="C329" s="25">
        <f>2+6</f>
        <v>8</v>
      </c>
      <c r="D329" s="12" t="s">
        <v>28</v>
      </c>
      <c r="E329" s="21">
        <f>7500/510</f>
        <v>14.705882352941176</v>
      </c>
      <c r="F329" s="21">
        <f>+E329*C329</f>
        <v>117.64705882352941</v>
      </c>
    </row>
    <row r="330" spans="1:6" ht="44.45" customHeight="1" x14ac:dyDescent="0.25">
      <c r="A330" s="12">
        <v>12.4</v>
      </c>
      <c r="B330" s="19" t="s">
        <v>47</v>
      </c>
      <c r="C330" s="25">
        <f>2+6</f>
        <v>8</v>
      </c>
      <c r="D330" s="12" t="s">
        <v>28</v>
      </c>
      <c r="E330" s="21">
        <v>80</v>
      </c>
      <c r="F330" s="21">
        <f>+E330*C330</f>
        <v>640</v>
      </c>
    </row>
    <row r="331" spans="1:6" x14ac:dyDescent="0.25">
      <c r="A331" s="12">
        <v>12.5</v>
      </c>
      <c r="B331" s="19" t="s">
        <v>48</v>
      </c>
      <c r="C331" s="25">
        <f>2+6</f>
        <v>8</v>
      </c>
      <c r="D331" s="12" t="s">
        <v>28</v>
      </c>
      <c r="E331" s="21">
        <v>65</v>
      </c>
      <c r="F331" s="21">
        <f>+E331*C331</f>
        <v>520</v>
      </c>
    </row>
    <row r="332" spans="1:6" x14ac:dyDescent="0.25">
      <c r="A332" s="12" t="s">
        <v>61</v>
      </c>
      <c r="B332" s="19" t="s">
        <v>62</v>
      </c>
      <c r="C332" s="25"/>
      <c r="D332" s="12"/>
      <c r="E332" s="21"/>
      <c r="F332" s="21"/>
    </row>
    <row r="333" spans="1:6" x14ac:dyDescent="0.25">
      <c r="A333" s="12">
        <v>13</v>
      </c>
      <c r="B333" s="28" t="s">
        <v>63</v>
      </c>
      <c r="C333" s="25"/>
      <c r="D333" s="12"/>
      <c r="E333" s="15"/>
      <c r="F333" s="16"/>
    </row>
    <row r="334" spans="1:6" ht="63" x14ac:dyDescent="0.25">
      <c r="A334" s="12">
        <v>13.1</v>
      </c>
      <c r="B334" s="19" t="s">
        <v>151</v>
      </c>
      <c r="C334" s="25">
        <v>5</v>
      </c>
      <c r="D334" s="12" t="s">
        <v>28</v>
      </c>
      <c r="E334" s="21">
        <f>E311</f>
        <v>240.73</v>
      </c>
      <c r="F334" s="21">
        <f>E334*C334</f>
        <v>1203.6499999999999</v>
      </c>
    </row>
    <row r="335" spans="1:6" x14ac:dyDescent="0.25">
      <c r="A335" s="12">
        <v>13.2</v>
      </c>
      <c r="B335" s="19" t="s">
        <v>64</v>
      </c>
      <c r="C335" s="25">
        <v>5</v>
      </c>
      <c r="D335" s="12" t="s">
        <v>28</v>
      </c>
      <c r="E335" s="21">
        <v>171.15</v>
      </c>
      <c r="F335" s="21">
        <f>E335*C335</f>
        <v>855.75</v>
      </c>
    </row>
    <row r="336" spans="1:6" x14ac:dyDescent="0.25">
      <c r="A336" s="12">
        <v>13.3</v>
      </c>
      <c r="B336" s="19" t="s">
        <v>60</v>
      </c>
      <c r="C336" s="25">
        <v>5</v>
      </c>
      <c r="D336" s="12" t="s">
        <v>28</v>
      </c>
      <c r="E336" s="21">
        <v>14.71</v>
      </c>
      <c r="F336" s="21">
        <f>E336*C336</f>
        <v>73.550000000000011</v>
      </c>
    </row>
    <row r="337" spans="1:6" ht="44.45" customHeight="1" x14ac:dyDescent="0.25">
      <c r="A337" s="12">
        <v>13.4</v>
      </c>
      <c r="B337" s="19" t="s">
        <v>46</v>
      </c>
      <c r="C337" s="25">
        <v>5</v>
      </c>
      <c r="D337" s="12" t="s">
        <v>28</v>
      </c>
      <c r="E337" s="21">
        <v>20</v>
      </c>
      <c r="F337" s="21">
        <f>+E337*C337</f>
        <v>100</v>
      </c>
    </row>
    <row r="338" spans="1:6" x14ac:dyDescent="0.25">
      <c r="A338" s="12">
        <v>13.5</v>
      </c>
      <c r="B338" s="19" t="s">
        <v>47</v>
      </c>
      <c r="C338" s="25">
        <v>5</v>
      </c>
      <c r="D338" s="12" t="s">
        <v>28</v>
      </c>
      <c r="E338" s="21">
        <v>15</v>
      </c>
      <c r="F338" s="21">
        <f>+E338*C338</f>
        <v>75</v>
      </c>
    </row>
    <row r="339" spans="1:6" x14ac:dyDescent="0.25">
      <c r="A339" s="12">
        <v>13.6</v>
      </c>
      <c r="B339" s="19" t="s">
        <v>48</v>
      </c>
      <c r="C339" s="25">
        <v>5</v>
      </c>
      <c r="D339" s="12" t="s">
        <v>28</v>
      </c>
      <c r="E339" s="21">
        <v>65</v>
      </c>
      <c r="F339" s="21">
        <f>+E339*C339</f>
        <v>325</v>
      </c>
    </row>
    <row r="340" spans="1:6" x14ac:dyDescent="0.25">
      <c r="A340" s="12">
        <v>14</v>
      </c>
      <c r="B340" s="28" t="s">
        <v>65</v>
      </c>
      <c r="C340" s="25"/>
      <c r="D340" s="12"/>
      <c r="E340" s="15"/>
      <c r="F340" s="16"/>
    </row>
    <row r="341" spans="1:6" ht="78.75" x14ac:dyDescent="0.25">
      <c r="A341" s="12"/>
      <c r="B341" s="19" t="s">
        <v>123</v>
      </c>
      <c r="C341" s="25"/>
      <c r="D341" s="12"/>
      <c r="E341" s="15"/>
      <c r="F341" s="16"/>
    </row>
    <row r="342" spans="1:6" ht="31.5" x14ac:dyDescent="0.25">
      <c r="A342" s="12">
        <v>14.1</v>
      </c>
      <c r="B342" s="19" t="s">
        <v>67</v>
      </c>
      <c r="C342" s="25">
        <v>345</v>
      </c>
      <c r="D342" s="12" t="s">
        <v>68</v>
      </c>
      <c r="E342" s="21">
        <v>12.05</v>
      </c>
      <c r="F342" s="21">
        <v>6250.83</v>
      </c>
    </row>
    <row r="343" spans="1:6" ht="31.5" x14ac:dyDescent="0.25">
      <c r="A343" s="12">
        <v>14.2</v>
      </c>
      <c r="B343" s="19" t="s">
        <v>69</v>
      </c>
      <c r="C343" s="25">
        <v>53</v>
      </c>
      <c r="D343" s="12" t="s">
        <v>28</v>
      </c>
      <c r="E343" s="21">
        <f>F343/C343</f>
        <v>117.94018867924528</v>
      </c>
      <c r="F343" s="21">
        <v>6250.83</v>
      </c>
    </row>
    <row r="344" spans="1:6" x14ac:dyDescent="0.25">
      <c r="A344" s="12">
        <v>14.3</v>
      </c>
      <c r="B344" s="19" t="s">
        <v>70</v>
      </c>
      <c r="C344" s="25" t="s">
        <v>35</v>
      </c>
      <c r="D344" s="12"/>
      <c r="E344" s="21"/>
      <c r="F344" s="21"/>
    </row>
    <row r="345" spans="1:6" x14ac:dyDescent="0.25">
      <c r="A345" s="12">
        <v>14.4</v>
      </c>
      <c r="B345" s="19" t="s">
        <v>71</v>
      </c>
      <c r="C345" s="25">
        <v>53</v>
      </c>
      <c r="D345" s="12" t="s">
        <v>28</v>
      </c>
      <c r="E345" s="21">
        <f>F345/C345</f>
        <v>5.618679245283019</v>
      </c>
      <c r="F345" s="21">
        <f>297.79</f>
        <v>297.79000000000002</v>
      </c>
    </row>
    <row r="346" spans="1:6" x14ac:dyDescent="0.25">
      <c r="A346" s="12">
        <v>15</v>
      </c>
      <c r="B346" s="28" t="s">
        <v>72</v>
      </c>
      <c r="C346" s="25"/>
      <c r="D346" s="12"/>
      <c r="E346" s="15"/>
      <c r="F346" s="16"/>
    </row>
    <row r="347" spans="1:6" ht="31.5" x14ac:dyDescent="0.25">
      <c r="A347" s="12">
        <v>15.1</v>
      </c>
      <c r="B347" s="19" t="s">
        <v>73</v>
      </c>
      <c r="C347" s="25">
        <f>C288+C289+C299+C319</f>
        <v>133</v>
      </c>
      <c r="D347" s="12" t="s">
        <v>28</v>
      </c>
      <c r="E347" s="21">
        <v>5</v>
      </c>
      <c r="F347" s="21">
        <f>C347*E347</f>
        <v>665</v>
      </c>
    </row>
    <row r="348" spans="1:6" x14ac:dyDescent="0.25">
      <c r="A348" s="12">
        <v>16</v>
      </c>
      <c r="B348" s="26" t="s">
        <v>124</v>
      </c>
      <c r="C348" s="14"/>
      <c r="D348" s="12"/>
      <c r="E348" s="15"/>
      <c r="F348" s="16"/>
    </row>
    <row r="349" spans="1:6" ht="47.25" x14ac:dyDescent="0.25">
      <c r="A349" s="12"/>
      <c r="B349" s="17" t="s">
        <v>125</v>
      </c>
      <c r="C349" s="14"/>
      <c r="D349" s="12"/>
      <c r="E349" s="15"/>
      <c r="F349" s="16"/>
    </row>
    <row r="350" spans="1:6" x14ac:dyDescent="0.25">
      <c r="A350" s="12" t="s">
        <v>126</v>
      </c>
      <c r="B350" s="17" t="s">
        <v>21</v>
      </c>
      <c r="C350" s="14">
        <v>1</v>
      </c>
      <c r="D350" s="12"/>
      <c r="E350" s="21">
        <v>6952.6</v>
      </c>
      <c r="F350" s="21">
        <f t="shared" ref="F350" si="31">C350*E350</f>
        <v>6952.6</v>
      </c>
    </row>
    <row r="351" spans="1:6" x14ac:dyDescent="0.25">
      <c r="A351" s="12">
        <v>16.2</v>
      </c>
      <c r="B351" s="19" t="s">
        <v>22</v>
      </c>
      <c r="C351" s="14"/>
      <c r="D351" s="12"/>
      <c r="E351" s="18"/>
      <c r="F351" s="20"/>
    </row>
    <row r="352" spans="1:6" x14ac:dyDescent="0.25">
      <c r="A352" s="12">
        <v>16.3</v>
      </c>
      <c r="B352" s="19" t="s">
        <v>23</v>
      </c>
      <c r="C352" s="14"/>
      <c r="D352" s="12"/>
      <c r="E352" s="18"/>
      <c r="F352" s="20"/>
    </row>
    <row r="353" spans="1:6" x14ac:dyDescent="0.25">
      <c r="A353" s="12">
        <v>16.399999999999999</v>
      </c>
      <c r="B353" s="19" t="s">
        <v>24</v>
      </c>
      <c r="C353" s="14"/>
      <c r="D353" s="12"/>
      <c r="E353" s="18"/>
      <c r="F353" s="20"/>
    </row>
    <row r="354" spans="1:6" x14ac:dyDescent="0.25">
      <c r="A354" s="12">
        <v>16.5</v>
      </c>
      <c r="B354" s="19" t="s">
        <v>25</v>
      </c>
      <c r="C354" s="14"/>
      <c r="D354" s="12"/>
      <c r="E354" s="18"/>
      <c r="F354" s="20"/>
    </row>
    <row r="355" spans="1:6" x14ac:dyDescent="0.25">
      <c r="A355" s="12">
        <v>17</v>
      </c>
      <c r="B355" s="71" t="s">
        <v>74</v>
      </c>
      <c r="C355" s="29" t="s">
        <v>35</v>
      </c>
      <c r="D355" s="12"/>
      <c r="E355" s="21"/>
      <c r="F355" s="21"/>
    </row>
    <row r="356" spans="1:6" x14ac:dyDescent="0.25">
      <c r="A356" s="12">
        <v>17.100000000000001</v>
      </c>
      <c r="B356" s="72" t="s">
        <v>75</v>
      </c>
      <c r="C356" s="29"/>
      <c r="D356" s="12"/>
      <c r="E356" s="21"/>
      <c r="F356" s="21"/>
    </row>
    <row r="357" spans="1:6" x14ac:dyDescent="0.25">
      <c r="A357" s="12">
        <v>17.2</v>
      </c>
      <c r="B357" s="72" t="s">
        <v>155</v>
      </c>
      <c r="C357" s="29"/>
      <c r="D357" s="12"/>
      <c r="E357" s="21"/>
      <c r="F357" s="21"/>
    </row>
    <row r="358" spans="1:6" x14ac:dyDescent="0.25">
      <c r="A358" s="12">
        <v>18</v>
      </c>
      <c r="B358" s="71" t="s">
        <v>77</v>
      </c>
      <c r="C358" s="29" t="s">
        <v>35</v>
      </c>
      <c r="D358" s="12"/>
      <c r="E358" s="21"/>
      <c r="F358" s="21"/>
    </row>
    <row r="359" spans="1:6" x14ac:dyDescent="0.25">
      <c r="A359" s="12">
        <v>18.100000000000001</v>
      </c>
      <c r="B359" s="19" t="s">
        <v>78</v>
      </c>
      <c r="C359" s="29"/>
      <c r="D359" s="12"/>
      <c r="E359" s="21"/>
      <c r="F359" s="21"/>
    </row>
    <row r="360" spans="1:6" x14ac:dyDescent="0.25">
      <c r="A360" s="12"/>
      <c r="B360" s="19"/>
      <c r="C360" s="29"/>
      <c r="D360" s="12"/>
      <c r="E360" s="21"/>
      <c r="F360" s="21"/>
    </row>
    <row r="361" spans="1:6" x14ac:dyDescent="0.25">
      <c r="A361" s="12"/>
      <c r="B361" s="19"/>
      <c r="C361" s="29"/>
      <c r="D361" s="12"/>
      <c r="E361" s="21"/>
      <c r="F361" s="21"/>
    </row>
    <row r="362" spans="1:6" x14ac:dyDescent="0.25">
      <c r="A362" s="54" t="s">
        <v>127</v>
      </c>
      <c r="B362" s="55"/>
      <c r="C362" s="55"/>
      <c r="D362" s="55"/>
      <c r="E362" s="56"/>
      <c r="F362" s="30">
        <f>SUM(F282:F361)</f>
        <v>75206.423520588229</v>
      </c>
    </row>
    <row r="363" spans="1:6" x14ac:dyDescent="0.25">
      <c r="A363" s="12"/>
      <c r="B363" s="19"/>
      <c r="C363" s="14"/>
      <c r="D363" s="12"/>
      <c r="E363" s="15"/>
      <c r="F363" s="16"/>
    </row>
    <row r="364" spans="1:6" x14ac:dyDescent="0.25">
      <c r="A364" s="12"/>
      <c r="B364" s="19"/>
      <c r="C364" s="14"/>
      <c r="D364" s="12"/>
      <c r="E364" s="15"/>
      <c r="F364" s="16"/>
    </row>
    <row r="365" spans="1:6" ht="18.75" x14ac:dyDescent="0.25">
      <c r="A365" s="50" t="s">
        <v>128</v>
      </c>
      <c r="B365" s="50"/>
      <c r="C365" s="50"/>
      <c r="D365" s="50"/>
      <c r="E365" s="50"/>
      <c r="F365" s="50"/>
    </row>
    <row r="366" spans="1:6" x14ac:dyDescent="0.25">
      <c r="A366" s="52" t="s">
        <v>129</v>
      </c>
      <c r="B366" s="52"/>
      <c r="C366" s="52"/>
      <c r="D366" s="52"/>
      <c r="E366" s="52"/>
      <c r="F366" s="52"/>
    </row>
    <row r="367" spans="1:6" x14ac:dyDescent="0.25">
      <c r="A367" s="9" t="s">
        <v>7</v>
      </c>
      <c r="B367" s="9" t="s">
        <v>8</v>
      </c>
      <c r="C367" s="10" t="s">
        <v>9</v>
      </c>
      <c r="D367" s="9" t="s">
        <v>10</v>
      </c>
      <c r="E367" s="11" t="s">
        <v>11</v>
      </c>
      <c r="F367" s="11" t="s">
        <v>12</v>
      </c>
    </row>
    <row r="368" spans="1:6" x14ac:dyDescent="0.25">
      <c r="A368" s="12">
        <v>1</v>
      </c>
      <c r="B368" s="13" t="s">
        <v>37</v>
      </c>
      <c r="C368" s="14"/>
      <c r="D368" s="12"/>
      <c r="E368" s="21"/>
      <c r="F368" s="21"/>
    </row>
    <row r="369" spans="1:6" ht="63" x14ac:dyDescent="0.25">
      <c r="A369" s="12">
        <v>1.1000000000000001</v>
      </c>
      <c r="B369" s="19" t="s">
        <v>130</v>
      </c>
      <c r="C369" s="14">
        <v>1</v>
      </c>
      <c r="D369" s="12" t="s">
        <v>28</v>
      </c>
      <c r="E369" s="21">
        <v>25.08</v>
      </c>
      <c r="F369" s="21">
        <f>C369*E369</f>
        <v>25.08</v>
      </c>
    </row>
    <row r="370" spans="1:6" x14ac:dyDescent="0.25">
      <c r="A370" s="12">
        <v>2</v>
      </c>
      <c r="B370" s="13" t="s">
        <v>39</v>
      </c>
      <c r="C370" s="14"/>
      <c r="D370" s="12"/>
      <c r="E370" s="21"/>
      <c r="F370" s="21"/>
    </row>
    <row r="371" spans="1:6" ht="63" x14ac:dyDescent="0.25">
      <c r="A371" s="12">
        <v>2.1</v>
      </c>
      <c r="B371" s="19" t="s">
        <v>131</v>
      </c>
      <c r="C371" s="14">
        <v>2</v>
      </c>
      <c r="D371" s="12" t="s">
        <v>28</v>
      </c>
      <c r="E371" s="21">
        <v>120.5</v>
      </c>
      <c r="F371" s="21">
        <f>E371*C371</f>
        <v>241</v>
      </c>
    </row>
    <row r="372" spans="1:6" ht="78.75" x14ac:dyDescent="0.25">
      <c r="A372" s="12">
        <v>2.2000000000000002</v>
      </c>
      <c r="B372" s="19" t="s">
        <v>132</v>
      </c>
      <c r="C372" s="14">
        <v>14</v>
      </c>
      <c r="D372" s="12" t="s">
        <v>28</v>
      </c>
      <c r="E372" s="21">
        <v>12</v>
      </c>
      <c r="F372" s="21">
        <f>E372*C372</f>
        <v>168</v>
      </c>
    </row>
    <row r="373" spans="1:6" x14ac:dyDescent="0.25">
      <c r="A373" s="12">
        <v>3</v>
      </c>
      <c r="B373" s="26" t="s">
        <v>59</v>
      </c>
      <c r="C373" s="14"/>
      <c r="D373" s="12"/>
      <c r="E373" s="15"/>
      <c r="F373" s="16"/>
    </row>
    <row r="374" spans="1:6" ht="63" x14ac:dyDescent="0.25">
      <c r="A374" s="12">
        <v>3.1</v>
      </c>
      <c r="B374" s="19" t="s">
        <v>44</v>
      </c>
      <c r="C374" s="14">
        <v>6</v>
      </c>
      <c r="D374" s="12" t="s">
        <v>28</v>
      </c>
      <c r="E374" s="21">
        <v>224.5</v>
      </c>
      <c r="F374" s="21">
        <f>E374*C374</f>
        <v>1347</v>
      </c>
    </row>
    <row r="375" spans="1:6" x14ac:dyDescent="0.25">
      <c r="A375" s="12">
        <v>3.2</v>
      </c>
      <c r="B375" s="19" t="s">
        <v>60</v>
      </c>
      <c r="C375" s="14">
        <v>6</v>
      </c>
      <c r="D375" s="12" t="s">
        <v>28</v>
      </c>
      <c r="E375" s="21">
        <v>14.71</v>
      </c>
      <c r="F375" s="21">
        <f>E375*C375</f>
        <v>88.26</v>
      </c>
    </row>
    <row r="376" spans="1:6" x14ac:dyDescent="0.25">
      <c r="A376" s="12">
        <v>3.3</v>
      </c>
      <c r="B376" s="19" t="s">
        <v>46</v>
      </c>
      <c r="C376" s="14">
        <v>6</v>
      </c>
      <c r="D376" s="12" t="s">
        <v>28</v>
      </c>
      <c r="E376" s="21">
        <v>20</v>
      </c>
      <c r="F376" s="21">
        <f>+E376*C376</f>
        <v>120</v>
      </c>
    </row>
    <row r="377" spans="1:6" x14ac:dyDescent="0.25">
      <c r="A377" s="12">
        <v>3.4</v>
      </c>
      <c r="B377" s="19" t="s">
        <v>47</v>
      </c>
      <c r="C377" s="14">
        <v>6</v>
      </c>
      <c r="D377" s="12" t="s">
        <v>28</v>
      </c>
      <c r="E377" s="21">
        <v>15</v>
      </c>
      <c r="F377" s="21">
        <f>+E377*C377</f>
        <v>90</v>
      </c>
    </row>
    <row r="378" spans="1:6" x14ac:dyDescent="0.25">
      <c r="A378" s="12">
        <v>3.5</v>
      </c>
      <c r="B378" s="19" t="s">
        <v>48</v>
      </c>
      <c r="C378" s="14">
        <v>6</v>
      </c>
      <c r="D378" s="12" t="s">
        <v>28</v>
      </c>
      <c r="E378" s="21">
        <v>65</v>
      </c>
      <c r="F378" s="21">
        <f>+E378*C378</f>
        <v>390</v>
      </c>
    </row>
    <row r="379" spans="1:6" x14ac:dyDescent="0.25">
      <c r="A379" s="12" t="s">
        <v>61</v>
      </c>
      <c r="B379" s="19" t="s">
        <v>62</v>
      </c>
      <c r="C379" s="14"/>
      <c r="D379" s="12"/>
      <c r="E379" s="21"/>
      <c r="F379" s="21"/>
    </row>
    <row r="380" spans="1:6" x14ac:dyDescent="0.25">
      <c r="A380" s="12">
        <v>4</v>
      </c>
      <c r="B380" s="28" t="s">
        <v>63</v>
      </c>
      <c r="C380" s="14"/>
      <c r="D380" s="12"/>
      <c r="E380" s="15"/>
      <c r="F380" s="16"/>
    </row>
    <row r="381" spans="1:6" ht="63" x14ac:dyDescent="0.25">
      <c r="A381" s="12">
        <v>4.0999999999999996</v>
      </c>
      <c r="B381" s="19" t="s">
        <v>44</v>
      </c>
      <c r="C381" s="14">
        <v>6</v>
      </c>
      <c r="D381" s="12" t="s">
        <v>28</v>
      </c>
      <c r="E381" s="21">
        <v>224.5</v>
      </c>
      <c r="F381" s="21">
        <f>E381*C381</f>
        <v>1347</v>
      </c>
    </row>
    <row r="382" spans="1:6" x14ac:dyDescent="0.25">
      <c r="A382" s="12">
        <v>4.2</v>
      </c>
      <c r="B382" s="19" t="s">
        <v>64</v>
      </c>
      <c r="C382" s="14">
        <v>6</v>
      </c>
      <c r="D382" s="12" t="s">
        <v>28</v>
      </c>
      <c r="E382" s="21">
        <v>171.15</v>
      </c>
      <c r="F382" s="21">
        <f>E382*C382</f>
        <v>1026.9000000000001</v>
      </c>
    </row>
    <row r="383" spans="1:6" x14ac:dyDescent="0.25">
      <c r="A383" s="12">
        <v>4.3</v>
      </c>
      <c r="B383" s="19" t="s">
        <v>60</v>
      </c>
      <c r="C383" s="14">
        <v>6</v>
      </c>
      <c r="D383" s="12" t="s">
        <v>28</v>
      </c>
      <c r="E383" s="21">
        <v>14.71</v>
      </c>
      <c r="F383" s="21">
        <f>E383*C383</f>
        <v>88.26</v>
      </c>
    </row>
    <row r="384" spans="1:6" x14ac:dyDescent="0.25">
      <c r="A384" s="12">
        <v>4.4000000000000004</v>
      </c>
      <c r="B384" s="19" t="s">
        <v>46</v>
      </c>
      <c r="C384" s="29">
        <v>6</v>
      </c>
      <c r="D384" s="12" t="s">
        <v>28</v>
      </c>
      <c r="E384" s="21">
        <v>20</v>
      </c>
      <c r="F384" s="21">
        <f>+E384*C384</f>
        <v>120</v>
      </c>
    </row>
    <row r="385" spans="1:6" x14ac:dyDescent="0.25">
      <c r="A385" s="12">
        <v>4.5</v>
      </c>
      <c r="B385" s="19" t="s">
        <v>47</v>
      </c>
      <c r="C385" s="14">
        <v>6</v>
      </c>
      <c r="D385" s="12" t="s">
        <v>28</v>
      </c>
      <c r="E385" s="21">
        <v>15</v>
      </c>
      <c r="F385" s="21">
        <f>+E385*C385</f>
        <v>90</v>
      </c>
    </row>
    <row r="386" spans="1:6" x14ac:dyDescent="0.25">
      <c r="A386" s="12">
        <v>4.5999999999999996</v>
      </c>
      <c r="B386" s="19" t="s">
        <v>48</v>
      </c>
      <c r="C386" s="14">
        <v>6</v>
      </c>
      <c r="D386" s="12" t="s">
        <v>28</v>
      </c>
      <c r="E386" s="21">
        <v>65</v>
      </c>
      <c r="F386" s="21">
        <f>+E386*C386</f>
        <v>390</v>
      </c>
    </row>
    <row r="387" spans="1:6" ht="78.75" x14ac:dyDescent="0.25">
      <c r="A387" s="12">
        <v>5</v>
      </c>
      <c r="B387" s="26" t="s">
        <v>133</v>
      </c>
      <c r="C387" s="14"/>
      <c r="D387" s="12"/>
      <c r="E387" s="15"/>
      <c r="F387" s="16"/>
    </row>
    <row r="388" spans="1:6" x14ac:dyDescent="0.25">
      <c r="A388" s="12">
        <v>5.0999999999999996</v>
      </c>
      <c r="B388" s="19" t="s">
        <v>134</v>
      </c>
      <c r="C388" s="14">
        <v>1</v>
      </c>
      <c r="D388" s="12" t="s">
        <v>28</v>
      </c>
      <c r="E388" s="21">
        <v>315</v>
      </c>
      <c r="F388" s="21">
        <f>+E388*C388</f>
        <v>315</v>
      </c>
    </row>
    <row r="389" spans="1:6" x14ac:dyDescent="0.25">
      <c r="A389" s="12">
        <v>5.2</v>
      </c>
      <c r="B389" s="19" t="s">
        <v>135</v>
      </c>
      <c r="C389" s="14">
        <v>1</v>
      </c>
      <c r="D389" s="12" t="s">
        <v>28</v>
      </c>
      <c r="E389" s="21">
        <f>707.5*1.13*1.3</f>
        <v>1039.3174999999999</v>
      </c>
      <c r="F389" s="21">
        <f>+E389*C389</f>
        <v>1039.3174999999999</v>
      </c>
    </row>
    <row r="390" spans="1:6" x14ac:dyDescent="0.25">
      <c r="A390" s="12"/>
      <c r="B390" s="19"/>
      <c r="C390" s="14"/>
      <c r="D390" s="12"/>
      <c r="E390" s="15"/>
      <c r="F390" s="16"/>
    </row>
    <row r="391" spans="1:6" x14ac:dyDescent="0.25">
      <c r="A391" s="12">
        <v>6</v>
      </c>
      <c r="B391" s="26" t="s">
        <v>136</v>
      </c>
      <c r="C391" s="14"/>
      <c r="D391" s="12"/>
      <c r="E391" s="15"/>
      <c r="F391" s="16"/>
    </row>
    <row r="392" spans="1:6" ht="47.25" x14ac:dyDescent="0.25">
      <c r="A392" s="12"/>
      <c r="B392" s="19" t="s">
        <v>137</v>
      </c>
      <c r="C392" s="14"/>
      <c r="D392" s="12"/>
      <c r="E392" s="15"/>
      <c r="F392" s="16"/>
    </row>
    <row r="393" spans="1:6" ht="31.5" x14ac:dyDescent="0.25">
      <c r="A393" s="12">
        <v>6.1</v>
      </c>
      <c r="B393" s="19" t="s">
        <v>67</v>
      </c>
      <c r="C393" s="29">
        <v>279</v>
      </c>
      <c r="D393" s="12" t="s">
        <v>68</v>
      </c>
      <c r="E393" s="21">
        <v>13.32</v>
      </c>
      <c r="F393" s="21">
        <f>+E393*C393</f>
        <v>3716.28</v>
      </c>
    </row>
    <row r="394" spans="1:6" ht="31.5" x14ac:dyDescent="0.25">
      <c r="A394" s="12">
        <v>6.2</v>
      </c>
      <c r="B394" s="19" t="s">
        <v>69</v>
      </c>
      <c r="C394" s="29">
        <v>23</v>
      </c>
      <c r="D394" s="12" t="s">
        <v>28</v>
      </c>
      <c r="E394" s="21">
        <f>F394/C394</f>
        <v>104.37608695652175</v>
      </c>
      <c r="F394" s="21">
        <v>2400.65</v>
      </c>
    </row>
    <row r="395" spans="1:6" x14ac:dyDescent="0.25">
      <c r="A395" s="12">
        <v>6.3</v>
      </c>
      <c r="B395" s="19" t="s">
        <v>70</v>
      </c>
      <c r="C395" s="29" t="s">
        <v>35</v>
      </c>
      <c r="D395" s="12"/>
      <c r="E395" s="21"/>
      <c r="F395" s="21"/>
    </row>
    <row r="396" spans="1:6" x14ac:dyDescent="0.25">
      <c r="A396" s="12">
        <v>6.4</v>
      </c>
      <c r="B396" s="19" t="s">
        <v>71</v>
      </c>
      <c r="C396" s="29">
        <f>C394</f>
        <v>23</v>
      </c>
      <c r="D396" s="12" t="s">
        <v>28</v>
      </c>
      <c r="E396" s="21">
        <f>F396/C396</f>
        <v>6.0113043478260861</v>
      </c>
      <c r="F396" s="21">
        <v>138.26</v>
      </c>
    </row>
    <row r="397" spans="1:6" ht="15.75" customHeight="1" x14ac:dyDescent="0.25">
      <c r="A397" s="12">
        <v>7</v>
      </c>
      <c r="B397" s="28" t="s">
        <v>72</v>
      </c>
      <c r="C397" s="29"/>
      <c r="D397" s="12"/>
      <c r="E397" s="21"/>
      <c r="F397" s="21">
        <f t="shared" ref="F397" si="32">+E397*C397</f>
        <v>0</v>
      </c>
    </row>
    <row r="398" spans="1:6" ht="15.75" customHeight="1" x14ac:dyDescent="0.25">
      <c r="A398" s="12">
        <v>7.1</v>
      </c>
      <c r="B398" s="19" t="s">
        <v>73</v>
      </c>
      <c r="C398" s="29">
        <f>C369</f>
        <v>1</v>
      </c>
      <c r="D398" s="12" t="s">
        <v>28</v>
      </c>
      <c r="E398" s="21">
        <v>20</v>
      </c>
      <c r="F398" s="21">
        <f>C398*E398</f>
        <v>20</v>
      </c>
    </row>
    <row r="399" spans="1:6" x14ac:dyDescent="0.25">
      <c r="A399" s="12"/>
      <c r="B399" s="17"/>
      <c r="C399" s="14"/>
      <c r="D399" s="12"/>
      <c r="E399" s="15"/>
      <c r="F399" s="16"/>
    </row>
    <row r="400" spans="1:6" x14ac:dyDescent="0.25">
      <c r="A400" s="53" t="s">
        <v>138</v>
      </c>
      <c r="B400" s="53"/>
      <c r="C400" s="53"/>
      <c r="D400" s="53"/>
      <c r="E400" s="53"/>
      <c r="F400" s="30">
        <f>SUM(F368:F399)</f>
        <v>13161.0075</v>
      </c>
    </row>
    <row r="401" spans="1:6" x14ac:dyDescent="0.25">
      <c r="A401" s="54"/>
      <c r="B401" s="55"/>
      <c r="C401" s="55"/>
      <c r="D401" s="55"/>
      <c r="E401" s="55"/>
      <c r="F401" s="56"/>
    </row>
    <row r="402" spans="1:6" ht="15.75" customHeight="1" x14ac:dyDescent="0.25">
      <c r="A402" s="53" t="s">
        <v>139</v>
      </c>
      <c r="B402" s="53"/>
      <c r="C402" s="53"/>
      <c r="D402" s="53"/>
      <c r="E402" s="53"/>
      <c r="F402" s="30">
        <f>F93+F186+F277+F362+F400</f>
        <v>515279.67018018611</v>
      </c>
    </row>
    <row r="403" spans="1:6" x14ac:dyDescent="0.25">
      <c r="A403" s="53" t="s">
        <v>140</v>
      </c>
      <c r="B403" s="53"/>
      <c r="C403" s="53"/>
      <c r="D403" s="53"/>
      <c r="E403" s="53"/>
      <c r="F403" s="30">
        <f>F402*5%</f>
        <v>25763.983509009307</v>
      </c>
    </row>
    <row r="404" spans="1:6" x14ac:dyDescent="0.25">
      <c r="A404" s="53" t="s">
        <v>141</v>
      </c>
      <c r="B404" s="53"/>
      <c r="C404" s="53"/>
      <c r="D404" s="53"/>
      <c r="E404" s="53"/>
      <c r="F404" s="30">
        <f>F402*15%</f>
        <v>77291.950527027919</v>
      </c>
    </row>
    <row r="405" spans="1:6" x14ac:dyDescent="0.25">
      <c r="A405" s="53" t="s">
        <v>142</v>
      </c>
      <c r="B405" s="53"/>
      <c r="C405" s="53"/>
      <c r="D405" s="53"/>
      <c r="E405" s="53"/>
      <c r="F405" s="30">
        <f>SUM(F402:F404)</f>
        <v>618335.60421622335</v>
      </c>
    </row>
    <row r="406" spans="1:6" x14ac:dyDescent="0.25">
      <c r="B406"/>
      <c r="C406" s="32"/>
      <c r="D406"/>
      <c r="E406"/>
      <c r="F406"/>
    </row>
    <row r="407" spans="1:6" x14ac:dyDescent="0.25">
      <c r="A407" s="33" t="s">
        <v>143</v>
      </c>
      <c r="B407" s="33"/>
      <c r="C407" s="34"/>
      <c r="D407" s="5"/>
      <c r="E407" s="5"/>
    </row>
    <row r="408" spans="1:6" x14ac:dyDescent="0.25">
      <c r="A408" s="5"/>
      <c r="B408" s="5"/>
      <c r="C408" s="6"/>
      <c r="D408" s="5"/>
      <c r="E408" s="5"/>
    </row>
    <row r="409" spans="1:6" x14ac:dyDescent="0.25">
      <c r="A409" s="57" t="s">
        <v>144</v>
      </c>
      <c r="B409" s="57"/>
      <c r="C409" s="58"/>
      <c r="D409" s="58"/>
      <c r="E409" s="58"/>
    </row>
    <row r="410" spans="1:6" x14ac:dyDescent="0.25">
      <c r="A410" s="8"/>
      <c r="B410" s="8"/>
      <c r="C410" s="58"/>
      <c r="D410" s="58"/>
      <c r="E410" s="58"/>
    </row>
    <row r="411" spans="1:6" x14ac:dyDescent="0.25">
      <c r="A411" s="57" t="s">
        <v>145</v>
      </c>
      <c r="B411" s="57"/>
      <c r="C411" s="59" t="s">
        <v>146</v>
      </c>
      <c r="D411" s="59"/>
      <c r="E411" s="59"/>
    </row>
    <row r="412" spans="1:6" x14ac:dyDescent="0.25">
      <c r="A412" s="31"/>
      <c r="B412" s="31"/>
      <c r="C412" s="60"/>
      <c r="D412" s="60"/>
      <c r="E412" s="60"/>
    </row>
    <row r="413" spans="1:6" x14ac:dyDescent="0.25">
      <c r="A413" s="57" t="s">
        <v>147</v>
      </c>
      <c r="B413" s="57"/>
      <c r="C413" s="60"/>
      <c r="D413" s="60"/>
      <c r="E413" s="60"/>
    </row>
    <row r="414" spans="1:6" x14ac:dyDescent="0.25">
      <c r="A414" s="31"/>
      <c r="B414" s="31"/>
      <c r="C414" s="58"/>
      <c r="D414" s="58"/>
      <c r="E414" s="58"/>
    </row>
    <row r="415" spans="1:6" x14ac:dyDescent="0.25">
      <c r="A415" s="51" t="s">
        <v>148</v>
      </c>
      <c r="B415" s="51"/>
      <c r="C415" s="35" t="s">
        <v>149</v>
      </c>
      <c r="D415" s="36"/>
      <c r="E415" s="36"/>
    </row>
    <row r="416" spans="1:6" x14ac:dyDescent="0.25">
      <c r="A416" s="37"/>
      <c r="B416" s="37"/>
      <c r="C416" s="38"/>
      <c r="D416" s="37"/>
      <c r="E416" s="37"/>
      <c r="F416" s="37"/>
    </row>
  </sheetData>
  <mergeCells count="36">
    <mergeCell ref="A8:F8"/>
    <mergeCell ref="B2:F2"/>
    <mergeCell ref="B3:F3"/>
    <mergeCell ref="B4:F4"/>
    <mergeCell ref="A5:F5"/>
    <mergeCell ref="A7:F7"/>
    <mergeCell ref="A405:E405"/>
    <mergeCell ref="A365:F365"/>
    <mergeCell ref="A9:F9"/>
    <mergeCell ref="A10:F10"/>
    <mergeCell ref="A11:F11"/>
    <mergeCell ref="A93:E93"/>
    <mergeCell ref="A94:F94"/>
    <mergeCell ref="A279:F279"/>
    <mergeCell ref="A280:F280"/>
    <mergeCell ref="A362:E362"/>
    <mergeCell ref="A95:F95"/>
    <mergeCell ref="A96:F96"/>
    <mergeCell ref="A186:E186"/>
    <mergeCell ref="A193:F193"/>
    <mergeCell ref="A194:F194"/>
    <mergeCell ref="A277:E277"/>
    <mergeCell ref="A415:B415"/>
    <mergeCell ref="A366:F366"/>
    <mergeCell ref="A400:E400"/>
    <mergeCell ref="A401:F401"/>
    <mergeCell ref="A402:E402"/>
    <mergeCell ref="A409:B409"/>
    <mergeCell ref="C409:E410"/>
    <mergeCell ref="A411:B411"/>
    <mergeCell ref="C411:E411"/>
    <mergeCell ref="C412:E413"/>
    <mergeCell ref="A413:B413"/>
    <mergeCell ref="C414:E414"/>
    <mergeCell ref="A404:E404"/>
    <mergeCell ref="A403:E403"/>
  </mergeCells>
  <phoneticPr fontId="15" type="noConversion"/>
  <printOptions horizontalCentered="1"/>
  <pageMargins left="0.59055118110236204" right="0.196850393700787" top="0.74803149606299202" bottom="0.39370078740157499" header="0.118110236220472" footer="0.118110236220472"/>
  <pageSetup paperSize="9" scale="40" fitToHeight="0" orientation="portrait" r:id="rId1"/>
  <headerFooter>
    <oddFooter>&amp;L&amp;F&amp;C&amp;A&amp;RPage &amp;P of &amp;N</oddFooter>
  </headerFooter>
  <ignoredErrors>
    <ignoredError sqref="F27"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5D36E63DE3E94E989119DC066D296D" ma:contentTypeVersion="15" ma:contentTypeDescription="Create a new document." ma:contentTypeScope="" ma:versionID="4ec27796ca0c7e3a38631d15069be006">
  <xsd:schema xmlns:xsd="http://www.w3.org/2001/XMLSchema" xmlns:xs="http://www.w3.org/2001/XMLSchema" xmlns:p="http://schemas.microsoft.com/office/2006/metadata/properties" xmlns:ns2="674a5171-b1ba-44b7-88d6-6d2d3bcd0ed7" xmlns:ns3="1fd3f36d-9882-4c81-8945-fcf8157ac7de" targetNamespace="http://schemas.microsoft.com/office/2006/metadata/properties" ma:root="true" ma:fieldsID="2577a70c8c9ea76a21ea1ffa106de5b4" ns2:_="" ns3:_="">
    <xsd:import namespace="674a5171-b1ba-44b7-88d6-6d2d3bcd0ed7"/>
    <xsd:import namespace="1fd3f36d-9882-4c81-8945-fcf8157ac7d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4a5171-b1ba-44b7-88d6-6d2d3bcd0e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d3f36d-9882-4c81-8945-fcf8157ac7d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935e69b9-b680-4a36-b224-116837a1700f}" ma:internalName="TaxCatchAll" ma:showField="CatchAllData" ma:web="1fd3f36d-9882-4c81-8945-fcf8157ac7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74a5171-b1ba-44b7-88d6-6d2d3bcd0ed7">
      <Terms xmlns="http://schemas.microsoft.com/office/infopath/2007/PartnerControls"/>
    </lcf76f155ced4ddcb4097134ff3c332f>
    <TaxCatchAll xmlns="1fd3f36d-9882-4c81-8945-fcf8157ac7de" xsi:nil="true"/>
  </documentManagement>
</p:properties>
</file>

<file path=customXml/itemProps1.xml><?xml version="1.0" encoding="utf-8"?>
<ds:datastoreItem xmlns:ds="http://schemas.openxmlformats.org/officeDocument/2006/customXml" ds:itemID="{3C7F704C-78A8-4E07-A748-EDCE75CDED7D}">
  <ds:schemaRefs>
    <ds:schemaRef ds:uri="http://schemas.microsoft.com/sharepoint/v3/contenttype/forms"/>
  </ds:schemaRefs>
</ds:datastoreItem>
</file>

<file path=customXml/itemProps2.xml><?xml version="1.0" encoding="utf-8"?>
<ds:datastoreItem xmlns:ds="http://schemas.openxmlformats.org/officeDocument/2006/customXml" ds:itemID="{49DF12BF-C4BF-4D51-9654-7EBF474CDEC4}"/>
</file>

<file path=customXml/itemProps3.xml><?xml version="1.0" encoding="utf-8"?>
<ds:datastoreItem xmlns:ds="http://schemas.openxmlformats.org/officeDocument/2006/customXml" ds:itemID="{489AC971-01AC-46F8-A795-7120A4F9C59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Electrical </vt:lpstr>
      <vt:lpstr>'II. Electrical '!Área_de_impresión</vt:lpstr>
      <vt:lpstr>'II. Electrical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Sánchez M.</dc:creator>
  <cp:keywords/>
  <dc:description/>
  <cp:lastModifiedBy>Katherine Sánchez M.</cp:lastModifiedBy>
  <cp:revision/>
  <dcterms:created xsi:type="dcterms:W3CDTF">2024-03-04T22:08:38Z</dcterms:created>
  <dcterms:modified xsi:type="dcterms:W3CDTF">2024-04-19T21:53:09Z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0x010100005D36E63DE3E94E989119DC066D296D</vt:lpwstr>
  </property>
</Properties>
</file>