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https://iomint.sharepoint.com/teams/USRAPCostaRica/Shared Documents/USRAP New Office/Edificio ParkInn/Building Procurement Plan (FR)/TRs 2th Construction Phase/"/>
    </mc:Choice>
  </mc:AlternateContent>
  <xr:revisionPtr revIDLastSave="453" documentId="8_{C01D41BA-2C1F-46B7-91DC-1B84B719A41E}" xr6:coauthVersionLast="47" xr6:coauthVersionMax="47" xr10:uidLastSave="{BD90DC8D-84EE-024F-B6F8-35C95D063028}"/>
  <bookViews>
    <workbookView xWindow="0" yWindow="500" windowWidth="28800" windowHeight="16580" activeTab="2" xr2:uid="{00000000-000D-0000-FFFF-FFFF00000000}"/>
  </bookViews>
  <sheets>
    <sheet name="A1 D&amp;D&amp;R" sheetId="7" r:id="rId1"/>
    <sheet name="A2 Partitions " sheetId="9" r:id="rId2"/>
    <sheet name="A3 Finishes " sheetId="10" r:id="rId3"/>
    <sheet name="A. Summary Architectural " sheetId="8" r:id="rId4"/>
  </sheets>
  <definedNames>
    <definedName name="_xlnm.Print_Area" localSheetId="0">'A1 D&amp;D&amp;R'!$A$1:$H$183</definedName>
    <definedName name="_xlnm.Print_Area" localSheetId="1">'A2 Partitions '!$A$1:$H$218</definedName>
    <definedName name="_xlnm.Print_Area" localSheetId="2">'A3 Finishes '!$A$1:$H$189</definedName>
    <definedName name="_xlnm.Print_Titles" localSheetId="0">'A1 D&amp;D&amp;R'!$2:$5</definedName>
    <definedName name="_xlnm.Print_Titles" localSheetId="1">'A2 Partitions '!$2:$5</definedName>
    <definedName name="_xlnm.Print_Titles" localSheetId="2">'A3 Finishes '!$2:$5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1" i="10" l="1"/>
  <c r="G155" i="10"/>
  <c r="G44" i="10"/>
  <c r="G156" i="7"/>
  <c r="G113" i="7"/>
  <c r="D3" i="8"/>
  <c r="G52" i="9"/>
  <c r="D81" i="7"/>
  <c r="G42" i="10"/>
  <c r="D16" i="10"/>
  <c r="D15" i="10"/>
  <c r="D67" i="10"/>
  <c r="G52" i="7"/>
  <c r="D40" i="7"/>
  <c r="G40" i="10"/>
  <c r="D26" i="10"/>
  <c r="G26" i="10" s="1"/>
  <c r="D27" i="10"/>
  <c r="G27" i="10" s="1"/>
  <c r="G203" i="9"/>
  <c r="D50" i="10"/>
  <c r="D104" i="10"/>
  <c r="G140" i="7"/>
  <c r="F37" i="9" l="1"/>
  <c r="G50" i="7"/>
  <c r="D90" i="10"/>
  <c r="G178" i="9"/>
  <c r="G177" i="9"/>
  <c r="D128" i="10"/>
  <c r="G128" i="10" s="1"/>
  <c r="G140" i="10"/>
  <c r="G139" i="10"/>
  <c r="D138" i="10"/>
  <c r="G138" i="10" s="1"/>
  <c r="G121" i="9"/>
  <c r="G120" i="9"/>
  <c r="F97" i="9"/>
  <c r="F109" i="9"/>
  <c r="F108" i="9"/>
  <c r="F107" i="9"/>
  <c r="F106" i="9"/>
  <c r="F105" i="9"/>
  <c r="F104" i="9"/>
  <c r="F103" i="9"/>
  <c r="F102" i="9"/>
  <c r="F100" i="9"/>
  <c r="F99" i="9"/>
  <c r="F98" i="9"/>
  <c r="F96" i="9"/>
  <c r="F36" i="9"/>
  <c r="F35" i="9"/>
  <c r="F34" i="9"/>
  <c r="F33" i="9"/>
  <c r="F32" i="9"/>
  <c r="D24" i="9"/>
  <c r="G24" i="9" s="1"/>
  <c r="D18" i="9"/>
  <c r="D29" i="9"/>
  <c r="D17" i="9"/>
  <c r="D28" i="9"/>
  <c r="D27" i="9"/>
  <c r="D16" i="9"/>
  <c r="D130" i="7"/>
  <c r="G146" i="7"/>
  <c r="G171" i="10"/>
  <c r="D86" i="10"/>
  <c r="G86" i="10" s="1"/>
  <c r="D134" i="10"/>
  <c r="G134" i="10" s="1"/>
  <c r="G131" i="10"/>
  <c r="G126" i="10"/>
  <c r="G80" i="10"/>
  <c r="D81" i="10"/>
  <c r="G81" i="10" s="1"/>
  <c r="G141" i="10"/>
  <c r="G82" i="10"/>
  <c r="D84" i="10"/>
  <c r="G84" i="10" s="1"/>
  <c r="G76" i="10"/>
  <c r="D147" i="9"/>
  <c r="G147" i="9" s="1"/>
  <c r="D69" i="9"/>
  <c r="G69" i="9" s="1"/>
  <c r="D68" i="9"/>
  <c r="D129" i="9"/>
  <c r="D132" i="10"/>
  <c r="G132" i="10" s="1"/>
  <c r="G23" i="9"/>
  <c r="G60" i="9"/>
  <c r="D63" i="9"/>
  <c r="G63" i="9" s="1"/>
  <c r="D62" i="9"/>
  <c r="G195" i="9"/>
  <c r="D189" i="9"/>
  <c r="G189" i="9" s="1"/>
  <c r="G102" i="7"/>
  <c r="D153" i="10"/>
  <c r="G153" i="10" s="1"/>
  <c r="D151" i="10"/>
  <c r="G151" i="10" s="1"/>
  <c r="G49" i="9"/>
  <c r="D48" i="9"/>
  <c r="G48" i="9" s="1"/>
  <c r="G50" i="9"/>
  <c r="D96" i="10"/>
  <c r="G96" i="10" s="1"/>
  <c r="G38" i="10"/>
  <c r="G42" i="9"/>
  <c r="G44" i="9"/>
  <c r="D21" i="9"/>
  <c r="G21" i="9" s="1"/>
  <c r="D22" i="9"/>
  <c r="G22" i="9" s="1"/>
  <c r="D67" i="9"/>
  <c r="G110" i="7"/>
  <c r="G149" i="10" l="1"/>
  <c r="G94" i="10"/>
  <c r="G36" i="10"/>
  <c r="D181" i="9"/>
  <c r="G181" i="9" s="1"/>
  <c r="D125" i="7"/>
  <c r="D198" i="9"/>
  <c r="G191" i="9"/>
  <c r="D188" i="9"/>
  <c r="G165" i="10"/>
  <c r="G163" i="10"/>
  <c r="G150" i="7"/>
  <c r="G148" i="7"/>
  <c r="G144" i="7"/>
  <c r="G142" i="7"/>
  <c r="G96" i="7"/>
  <c r="D98" i="7"/>
  <c r="G138" i="7"/>
  <c r="G136" i="7"/>
  <c r="G169" i="10"/>
  <c r="G132" i="7"/>
  <c r="D126" i="7"/>
  <c r="G87" i="7"/>
  <c r="G166" i="7"/>
  <c r="G164" i="7"/>
  <c r="G160" i="7"/>
  <c r="D100" i="7"/>
  <c r="G100" i="7" s="1"/>
  <c r="G101" i="7"/>
  <c r="G19" i="9"/>
  <c r="G143" i="10"/>
  <c r="G147" i="10"/>
  <c r="G92" i="10"/>
  <c r="G34" i="10"/>
  <c r="F166" i="9"/>
  <c r="D59" i="9"/>
  <c r="D58" i="9"/>
  <c r="G68" i="9"/>
  <c r="G67" i="9"/>
  <c r="D66" i="9"/>
  <c r="G66" i="9" s="1"/>
  <c r="G157" i="9"/>
  <c r="G88" i="9"/>
  <c r="G168" i="7" l="1"/>
  <c r="C2" i="8" s="1"/>
  <c r="C5" i="8" s="1"/>
  <c r="G129" i="9"/>
  <c r="G128" i="9"/>
  <c r="G88" i="10"/>
  <c r="G121" i="10"/>
  <c r="D114" i="10"/>
  <c r="G114" i="10" s="1"/>
  <c r="G113" i="10"/>
  <c r="G13" i="7"/>
  <c r="F172" i="9"/>
  <c r="G172" i="9" s="1"/>
  <c r="D138" i="9"/>
  <c r="G138" i="9" s="1"/>
  <c r="G108" i="7"/>
  <c r="G173" i="9"/>
  <c r="F171" i="9"/>
  <c r="G171" i="9" s="1"/>
  <c r="F170" i="9"/>
  <c r="G170" i="9" s="1"/>
  <c r="F169" i="9"/>
  <c r="G169" i="9" s="1"/>
  <c r="F168" i="9"/>
  <c r="F167" i="9"/>
  <c r="F165" i="9"/>
  <c r="G161" i="9"/>
  <c r="G160" i="9"/>
  <c r="D155" i="9"/>
  <c r="D152" i="9"/>
  <c r="D141" i="9"/>
  <c r="G141" i="9" s="1"/>
  <c r="D137" i="9"/>
  <c r="G137" i="9" s="1"/>
  <c r="D140" i="9"/>
  <c r="G140" i="9" s="1"/>
  <c r="D139" i="9"/>
  <c r="G139" i="9" s="1"/>
  <c r="D150" i="9"/>
  <c r="D145" i="9"/>
  <c r="G145" i="9" s="1"/>
  <c r="D146" i="9"/>
  <c r="G146" i="9" s="1"/>
  <c r="D144" i="9"/>
  <c r="G144" i="9" s="1"/>
  <c r="G59" i="9"/>
  <c r="G106" i="7"/>
  <c r="D104" i="7"/>
  <c r="G173" i="10"/>
  <c r="G145" i="10"/>
  <c r="G90" i="10"/>
  <c r="G32" i="10"/>
  <c r="G85" i="7"/>
  <c r="G83" i="7"/>
  <c r="G109" i="9"/>
  <c r="G108" i="9"/>
  <c r="G107" i="9"/>
  <c r="F101" i="9"/>
  <c r="G91" i="9"/>
  <c r="D86" i="9"/>
  <c r="D84" i="9"/>
  <c r="G84" i="9" s="1"/>
  <c r="G82" i="9"/>
  <c r="D79" i="9"/>
  <c r="D76" i="9"/>
  <c r="D74" i="9"/>
  <c r="D72" i="9"/>
  <c r="D74" i="7"/>
  <c r="D72" i="7"/>
  <c r="D70" i="7"/>
  <c r="G120" i="10" l="1"/>
  <c r="G119" i="10"/>
  <c r="G118" i="10"/>
  <c r="G117" i="10"/>
  <c r="G116" i="10"/>
  <c r="G109" i="10"/>
  <c r="G107" i="10"/>
  <c r="G104" i="10"/>
  <c r="G168" i="9"/>
  <c r="G167" i="9"/>
  <c r="G166" i="9"/>
  <c r="G165" i="9"/>
  <c r="G155" i="9"/>
  <c r="G152" i="9"/>
  <c r="G150" i="9"/>
  <c r="G98" i="7"/>
  <c r="F4" i="8" l="1"/>
  <c r="G182" i="9"/>
  <c r="F3" i="8" s="1"/>
  <c r="G104" i="7"/>
  <c r="F115" i="9"/>
  <c r="G115" i="9" s="1"/>
  <c r="F114" i="9"/>
  <c r="G114" i="9" s="1"/>
  <c r="G74" i="10"/>
  <c r="G71" i="10"/>
  <c r="G72" i="10"/>
  <c r="G73" i="10"/>
  <c r="G70" i="10"/>
  <c r="G67" i="10"/>
  <c r="G65" i="10"/>
  <c r="G63" i="10"/>
  <c r="G60" i="10"/>
  <c r="G59" i="10"/>
  <c r="D57" i="10"/>
  <c r="G56" i="10"/>
  <c r="G55" i="10"/>
  <c r="G53" i="10"/>
  <c r="G59" i="7"/>
  <c r="F2" i="8" l="1"/>
  <c r="F5" i="8" s="1"/>
  <c r="G125" i="9" l="1"/>
  <c r="G124" i="9"/>
  <c r="G62" i="9"/>
  <c r="G58" i="9"/>
  <c r="G76" i="9"/>
  <c r="G116" i="9"/>
  <c r="F113" i="9"/>
  <c r="G113" i="9" s="1"/>
  <c r="G86" i="9"/>
  <c r="G72" i="7" l="1"/>
  <c r="G70" i="7"/>
  <c r="G81" i="7"/>
  <c r="D78" i="7"/>
  <c r="G78" i="7" s="1"/>
  <c r="G64" i="7"/>
  <c r="G63" i="7"/>
  <c r="G74" i="9"/>
  <c r="G79" i="9"/>
  <c r="G31" i="10"/>
  <c r="G30" i="10"/>
  <c r="G29" i="9"/>
  <c r="G28" i="9"/>
  <c r="G27" i="9"/>
  <c r="D25" i="7"/>
  <c r="D197" i="9"/>
  <c r="G197" i="9" s="1"/>
  <c r="G198" i="9"/>
  <c r="G154" i="7"/>
  <c r="G36" i="7"/>
  <c r="G34" i="7"/>
  <c r="D22" i="10"/>
  <c r="G20" i="10"/>
  <c r="G19" i="10"/>
  <c r="G126" i="7"/>
  <c r="D128" i="7"/>
  <c r="D13" i="9"/>
  <c r="G13" i="9" s="1"/>
  <c r="G76" i="7"/>
  <c r="G89" i="7"/>
  <c r="G21" i="7"/>
  <c r="G34" i="9" l="1"/>
  <c r="G37" i="9"/>
  <c r="G36" i="9"/>
  <c r="G35" i="9"/>
  <c r="G122" i="7"/>
  <c r="G120" i="7"/>
  <c r="G152" i="7"/>
  <c r="G29" i="7"/>
  <c r="D167" i="10"/>
  <c r="G167" i="10" s="1"/>
  <c r="G161" i="10"/>
  <c r="G176" i="10" s="1"/>
  <c r="G57" i="10"/>
  <c r="G22" i="10"/>
  <c r="G50" i="10"/>
  <c r="G16" i="10"/>
  <c r="G15" i="10"/>
  <c r="G201" i="9"/>
  <c r="G188" i="9"/>
  <c r="G92" i="9"/>
  <c r="G106" i="9"/>
  <c r="G105" i="9"/>
  <c r="G104" i="9"/>
  <c r="G103" i="9"/>
  <c r="G102" i="9"/>
  <c r="G101" i="9"/>
  <c r="G100" i="9"/>
  <c r="G99" i="9"/>
  <c r="G98" i="9"/>
  <c r="G97" i="9"/>
  <c r="G96" i="9"/>
  <c r="G17" i="9"/>
  <c r="G33" i="9"/>
  <c r="G32" i="9"/>
  <c r="G39" i="9"/>
  <c r="G18" i="9"/>
  <c r="G128" i="7"/>
  <c r="G205" i="9" l="1"/>
  <c r="D4" i="8"/>
  <c r="G4" i="8"/>
  <c r="G98" i="10"/>
  <c r="E4" i="8" s="1"/>
  <c r="G74" i="7"/>
  <c r="G46" i="7"/>
  <c r="G44" i="7"/>
  <c r="G42" i="7"/>
  <c r="G40" i="7"/>
  <c r="G19" i="7"/>
  <c r="G72" i="9"/>
  <c r="G16" i="9"/>
  <c r="G17" i="7"/>
  <c r="G130" i="7"/>
  <c r="G125" i="7"/>
  <c r="G118" i="7"/>
  <c r="G134" i="7"/>
  <c r="G131" i="9" l="1"/>
  <c r="E3" i="8" s="1"/>
  <c r="G2" i="8"/>
  <c r="G178" i="10"/>
  <c r="G91" i="7"/>
  <c r="H4" i="8"/>
  <c r="G3" i="8"/>
  <c r="G15" i="7"/>
  <c r="G23" i="7"/>
  <c r="G25" i="7"/>
  <c r="G27" i="7"/>
  <c r="G32" i="7"/>
  <c r="G38" i="7"/>
  <c r="G48" i="7"/>
  <c r="G54" i="7" l="1"/>
  <c r="G170" i="7" s="1"/>
  <c r="E2" i="8"/>
  <c r="E5" i="8" s="1"/>
  <c r="G207" i="9"/>
  <c r="G5" i="8"/>
  <c r="D2" i="8" l="1"/>
  <c r="H2" i="8" s="1"/>
  <c r="H3" i="8"/>
  <c r="D5" i="8" l="1"/>
  <c r="D6" i="8" s="1"/>
</calcChain>
</file>

<file path=xl/sharedStrings.xml><?xml version="1.0" encoding="utf-8"?>
<sst xmlns="http://schemas.openxmlformats.org/spreadsheetml/2006/main" count="939" uniqueCount="538">
  <si>
    <t xml:space="preserve">Anexo B </t>
  </si>
  <si>
    <t>Formulario de oferta financiera / BoQ</t>
  </si>
  <si>
    <t>RFP.2024.001</t>
  </si>
  <si>
    <t>ESTABLECIMIENTO DE UN ACUERDO PARA REALIZACIÓN ADECUACIONES 
DEL INMUEBLE CCI PARA PROYECTO USRAP</t>
  </si>
  <si>
    <t>Notas: Se recuerda al contratista (cuando sea necesario) que visite el sitio antes de presentar la oferta para determinar el alcance de las condiciones del sitio. Todos los trabajos cuantificados en la licitación son provisionales y el pago se realizará en base al trabajo real ejecutado en el sitio y acordado por todas las partes. Se recomienda al contratista que busque constantemente las instrucciones del ingeniero de la IOM en cada fase del trabajo y, si es necesario, antes de presentar la oferta. Se considerará que toda tarifa Unidadaria incluye todos los elementos del suministro y el trabajo de construcción, es decir, la supervisión y otros gastos generales, por ejemplo, seguridad, ganancias y gastos generales, costo de materiales, desperdicios, transporte, etc.</t>
  </si>
  <si>
    <t>A1 DEMOLICIONES, DESISNTALACIONES Y REINSTALACIONES</t>
  </si>
  <si>
    <t>1. PRIMER NIVEL</t>
  </si>
  <si>
    <t>No</t>
  </si>
  <si>
    <t>Descripción</t>
  </si>
  <si>
    <t>Cantidad</t>
  </si>
  <si>
    <t>Unidad</t>
  </si>
  <si>
    <t>Vlr Unit</t>
  </si>
  <si>
    <t>Vlr Total</t>
  </si>
  <si>
    <t>A1.1.1</t>
  </si>
  <si>
    <t>Instalación de valla de seguridad/protección</t>
  </si>
  <si>
    <t>ls</t>
  </si>
  <si>
    <t>Suministro y entrega de paneles de lámina metálica para la construcción del cerco de seguridad/protección. Instalación de paneles de lámina metálica para crear un cerco alrededor del perímetro del área de obra, que se encuentra en espera del Área A, como se destaca en Diseño.
Los paneles de cerca deben tener una altura de hasta 2 metros para brindar la seguridad adecuada.
Fijación segura de los paneles de la cerca a postes de acero sostenidos por concreto tipo base móvil o removible para garantizar la estabilidad y facilitar la reubicación cuando sea necesario.
Instalación de puertas de acceso dentro del cerco para entrada y salida al área de obra.
Coordinación con personal de seguridad o encargados del sitio para determinar la ubicación y diseño del cerco.
Longitud aproximada 15 m</t>
  </si>
  <si>
    <t>A1.1.2</t>
  </si>
  <si>
    <t>Demolición de patio frente al edificio según partes resaltadas en el diseño.</t>
  </si>
  <si>
    <t>m2</t>
  </si>
  <si>
    <t>Este ámbito de obra supone el derribo del patio existente para facilitar el acceso al edificio. El proceso de demolición incluye la eliminación de cualquier estructura y material asociado con el área del patio, asegurando un camino claro y sin obstáculos hacia las nuevas puertas. El alcance cubre toda la mano de obra, el equipo y los servicios de eliminación necesarios para completar con éxito la demolición del patio, garantizando un espacio de trabajo seguro y accesible para el equipo de construcción.</t>
  </si>
  <si>
    <t>A1.1.3</t>
  </si>
  <si>
    <t>Desmantelamiento de grifos de agua externos existentes frente al edificio.</t>
  </si>
  <si>
    <t>uni.</t>
  </si>
  <si>
    <t>Este punto implica el desmantelamiento de grifos de agua externos y todas las tuberías asociadas dentro del área designada. El proceso incluye la retirada cuidadosa de los grifos de agua, tuberías, accesorios y cualquier otro componente conectado al suministro de agua externo.
Las actividades clave abarcan la desconexión adecuada de los grifos de agua del sistema de tuberías existente, asegurando una interrupción mínima en las áreas circundantes. El desmontaje se realizará respetando las normas de seguridad.
El alcance cubre toda la mano de obra, materiales y equipos necesarios para el desmantelamiento exitoso de grifos de agua externos y tuberías asociadas, dejando el área lista para una posible reconfiguración o futuras actividades de construcción.
Los grifos de agua desmantelados deben transportarse y almacenarse de acuerdo con las solicitudes y requisitos específicos del cliente.</t>
  </si>
  <si>
    <t>A1.1.5</t>
  </si>
  <si>
    <t>Ampliación del Drenaje Lineal Externo</t>
  </si>
  <si>
    <t>lm</t>
  </si>
  <si>
    <t>Este elemento implica la extensión del sistema de drenaje lineal externo existente para mejorar la gestión del agua y prevenir posibles problemas de drenaje. El proceso incluye la instalación de componentes de drenaje lineal adicionales para conectarse perfectamente con el sistema existente, asegurando un flujo de agua y drenaje eficientes.
Las actividades y componentes clave incluyen:
  Excavar el área designada para dar cabida a la extensión del sistema de drenaje lineal, asegurando la adecuada preparación del terreno para la instalación.
Suministro e instalación de canales lineales de drenaje adicionales para ampliar el sistema existente, incorporando materiales duraderos y resistentes a la corrosión como el Acero Inox.
Proporcionar todos los conectores, salidas y accesorios necesarios para conectar los nuevos componentes de drenaje lineal con el sistema existente, asegurando una integración perfecta y hermética.
Instalar una rejilla o cubierta adecuada para los canales de drenaje lineales extendidos, evitando la entrada de escombros y garantizando el acceso seguro de los peatones.
  Rellenar el área excavada alrededor de los canales de drenaje extendidos con materiales adecuados y compactar el suelo para restaurar el paisaje circundante.
Realizar pruebas exhaustivas del sistema de drenaje lineal extendido para verificar el flujo de agua y la funcionalidad de drenaje adecuados, asegurando que cumpla con las especificaciones de diseño.
El alcance cubre toda la mano de obra, materiales y equipos necesarios para la extensión exitosa del sistema de drenaje lineal externo. El énfasis está en crear una integración perfecta con la infraestructura de drenaje existente para mejorar la gestión general del agua en el sitio.</t>
  </si>
  <si>
    <t>A1.1.6</t>
  </si>
  <si>
    <t>Provisión e instalación de protección temporal para pisos</t>
  </si>
  <si>
    <t>Proporcione protección temporal para pisos para salvaguardar los pisos existentes durante todas las actividades de demolición, desmantelamiento y construcción nueva.
Asegúrese de que la protección temporal sea duradera, antideslizante y capaz de soportar el tráfico peatonal intenso, el movimiento de equipos y la manipulación de materiales.
El material de protección no debe ser abrasivo para evitar daños a la superficie del piso existente.
Retirada de la protección temporal al finalizar las obras, garantizando que el pavimento existente se mantenga en su estado original.
El contratista deberá presentar el tipo propuesto y las especificaciones de protección temporal para la aprobación de la OIM antes de la instalación.
Cualquier daño causado al piso existente debido a una protección inadecuada será responsabilidad del contratista para repararlo o reemplazarlo.</t>
  </si>
  <si>
    <t>A1.1.7</t>
  </si>
  <si>
    <t>Desmontaje de Puertas de Aluminio existentes (D01 01-04)</t>
  </si>
  <si>
    <t>Este alcance del trabajo implica el desmantelamiento cuidadoso de las puertas de aluminio existentes instaladas dentro de paneles de yeso. El proceso se ejecutará con precisión y cuidado para garantizar que las puertas se retiren de forma segura de sus ubicaciones actuales, preservando su integridad estructural y minimizando cualquier daño potencial. Las puertas de aluminio retiradas se prepararán sistemáticamente para su reinstalación en posiciones alternativas. Esto incluye etiquetado adecuado, documentación y almacenamiento seguro para evitar cualquier deterioro o daño durante el período intermedio.
Este alcance integral cubre toda la mano de obra, materiales, equipos y documentación necesarios para el desmantelamiento exitoso, así como el transporte y almacenamiento al área de almacenamiento designada para el resto de las puertas que no se volverán a instalar.</t>
  </si>
  <si>
    <t>A1.1.8</t>
  </si>
  <si>
    <t>Demolición de paneles de yeso existentes según las partes resaltadas en el Diseño</t>
  </si>
  <si>
    <t xml:space="preserve">Este alcance de trabajo implica la demolición de particiones de paneles de yeso existentes dentro de las áreas de construcción designadas. El proceso de demolición incluye el desmantelamiento y la eliminación cuidadosos de los materiales de los paneles de yeso, los montantes y los componentes asociados, incluido el cableado eléctrico y estructural del interior.
Las actividades de demolición se llevarán a cabo de acuerdo con las normas de seguridad y estándares ambientales para garantizar un proceso controlado y eficiente. Se prestará especial atención a la adecuada disposición de los materiales derribados, apegándose a las pautas de gestión de residuos.
El alcance cubre la eliminación de paneles de yeso en la medida especificada en los planos del proyecto, incluido cualquier parcheo y alisado necesario de las superficies después de la demolición en paredes, pisos y techos. Todo el trabajo se realizará teniendo en cuenta la minimización de la alteración del entorno circundante y los espacios vecinos dentro del edificio. La actividad incluirá también la retirada necesaria del falso techo para la ejecución de esta actividad.
Este alcance integral abarca toda la mano de obra, materiales, equipos y servicios de eliminación necesarios para completar con éxito la demolición de paneles de yeso, así como la eliminación de secciones de pisos laminados y techos suspendidos en áreas afectadas por la demolición de paredes específicas, asegurando la preservación para una posible reinstalación. 
</t>
  </si>
  <si>
    <t>A1.1.9</t>
  </si>
  <si>
    <t>Construcción de huecos en paredes secas existentes revestidas con paneles de MDF para instalación de puertas nuevas 1,10x2,2m</t>
  </si>
  <si>
    <t>Este alcance de trabajo implica la creación de una nueva abertura en los paneles de yeso existentes y dar cabida a la instalación de nuevas puertas de vidrio. El proceso incluye medición, corte y enmarcado precisos para garantizar la integridad estructural de las paredes circundantes.
Las actividades clave abarcan la remoción y eliminación cuidadosa de las secciones de paneles de yeso para crear la abertura designada. Si es necesario, se implementará el refuerzo necesario para mantener la estabilidad y la capacidad de carga del muro.
Los acabados incluyen parchar y alisar las superficies de los paneles de yeso alrededor de las nuevas aberturas, preparándolos para instalaciones posteriores de paneles de MDF. La actividad incluirá la reubicación del interruptor de luz cercano si choca con la abertura.
Este alcance integral cubre toda la mano de obra, materiales, equipos y servicios de acabado necesarios para la creación exitosa de una nueva apertura en paneles de yeso.</t>
  </si>
  <si>
    <t>A1.1.10</t>
  </si>
  <si>
    <t>Desmontaje y Reinstalación de Paneles de MDF para Aberturas de Puertas Nuevas (dos aberturas) MDF</t>
  </si>
  <si>
    <t>El alcance de las obras incluye:
Desmontaje y extracción de paneles de MDF de paneles de yeso para acomodar una nueva apertura de puertas (dos puertas), incluida una extracción cuidadosa para minimizar el daño.
Corte y modificación de paneles de MDF para adaptarlos a las nuevas dimensiones requeridas para la apertura de la puerta.
Provisión de tolerancias y ajustes necesarios para garantizar un ajuste adecuado con la nueva puerta.
Reinstalación de paneles de MDF con sujetadores y técnicas adecuados para fijarlos de forma segura al panel de yeso.
Terminar y parchar cualquier espacio o imperfección resultante del proceso de modificación para lograr una apariencia suave y sin costuras.
Limpieza y eliminación de escombros generados durante el proceso de remoción e instalación.
El precio se dará como suma global para ambas aperturas.</t>
  </si>
  <si>
    <t>A1.1.11</t>
  </si>
  <si>
    <t>Muros cortina exteriores</t>
  </si>
  <si>
    <t>A1.1.11,1</t>
  </si>
  <si>
    <t>Desmantelamiento del sistema de muro cortina existente</t>
  </si>
  <si>
    <t>Alcance del trabajo:
Estudio y valoración del sistema de muro cortina existente.
Eliminación de revestimiento exterior, paneles de acristalamiento y miembros estructurales asociados.
Desmontaje cuidadoso de los componentes estructurales, incluidos parteluces, travesaños y soportes de soporte.
Disposición de materiales desmantelados, transporte y almacenamiento al área dedicada según instrucciones de la OIM.
Garantizar que se cumplan las medidas de seguridad durante todo el proceso de desmantelamiento para evitar accidentes o daños a las estructuras adyacentes.
Limpieza del sitio y restauración del área después de las actividades de desmantelamiento.</t>
  </si>
  <si>
    <t>A1.1.11,2</t>
  </si>
  <si>
    <t>Reorganización del tabique de muro cortina exterior existente, mediante el desmontaje de las puertas existentes DR1-A05 y la instalación de ventanas fijas</t>
  </si>
  <si>
    <t>Este alcance del trabajo implica la reorganización de las particiones del muro cortina externo, específicamente la eliminación de la puerta doble DR1-A05 existente y el reemplazo con un panel de vidrio fijo hasta un final como se presenta en el detalle del dibujo del muro cortina externo.
Las actividades clave incluyen la retirada cuidadosa de la puerta especificada DR1-A05 dentro del muro cortina interno. Este proceso implicará el desmantelamiento de los marcos de las puertas, los herrajes y los componentes asociados. Las puertas retiradas luego se reemplazarán con paneles de vidrio fijos hechos a medida según el diseño detallado. La instalación de los paneles de vidrio fijos abarcará medidas precisas, fabricación y fijación dentro de la estructura del muro cortina.
El alcance cubre toda la mano de obra, materiales y equipos necesarios para la reorganización exitosa de los sistemas de muros cortina. Incluye la remoción de puertas existentes, la fabricación e instalación de paneles de vidrio fijos y cualquier ajuste asociado. Los planos de taller se presentarán para aprobación previa.</t>
  </si>
  <si>
    <t>A1.1.11,3</t>
  </si>
  <si>
    <t>Reorganización del tabique de muro cortina exterior existente, mediante el desmontaje de la ventana fija y la instalación de la puerta doble existente.</t>
  </si>
  <si>
    <t>Este alcance del trabajo implica la reorganización de las particiones del muro cortina externo, específicamente la eliminación de los paneles fijos de ventana/vidrio existentes y el reemplazo con la puerta doble DR1-A05 existente (del elemento anterior del BoQ) hasta una forma final como se presenta en el detalle del dibujo del muro cortina externo.
Las actividades clave incluyen la retirada cuidadosa de los paneles de vidrio, incluidos todos los perfiles de aluminio necesarios dentro del muro cortina para permitir el ancho de la instalación de la puerta. Este proceso implicará el desmantelamiento de paneles de vidrio, marcos, travesaños y todos los componentes asociados. Los paneles de vidrio retirados luego se reemplazarán con la puerta doble  existente previamente desmantelada según el detalle de diseño. La instalación de la puerta doble existente abarcará medidas precisas, fabricación y fijación dentro de la estructura del muro cortina.
El alcance cubre toda la mano de obra, materiales y equipos necesarios para la reorganización exitosa de los sistemas de muros cortina. Incluye el desmontaje de los paneles fijos, la fabricación necesaria y la instalación de la puerta doble fexisada con todos los componentes y cualquier ajuste asociado. Los planos de taller se presentarán para aprobación previa.</t>
  </si>
  <si>
    <t>A1.1.12</t>
  </si>
  <si>
    <t>Reordenación de la mampara interior de cristal existente, mediante el desmontaje de puertas existentes e instalación de ventanas fijas.</t>
  </si>
  <si>
    <r>
      <t xml:space="preserve">Este alcance del trabajo implica la reorganización de las particiones internas del muro cortina, específicamente la remoción y reemplazo de las puertas existentes con paneles de vidrio fijos. </t>
    </r>
    <r>
      <rPr>
        <sz val="12"/>
        <color theme="5"/>
        <rFont val="Calibri (Body)"/>
      </rPr>
      <t>Los componentes pueden ser reutilizados para reparar la fachada.</t>
    </r>
    <r>
      <rPr>
        <sz val="12"/>
        <rFont val="Calibri"/>
        <family val="2"/>
        <scheme val="minor"/>
      </rPr>
      <t xml:space="preserve">
Las actividades clave incluyen la retirada cuidadosa de las puertas especificadas dentro de la mampara de vidrio interna. Este proceso implicará el desmantelamiento de los marcos de las puertas, los herrajes y los componentes asociados. Las puertas retiradas luego se reemplazarán con paneles de vidrio fijos hechos a medida. La instalación de los paneles de vidrio fijos abarcará mediciones, fabricación y fijación precisas dentro de la estructura del muro cortina.
El alcance cubre toda la mano de obra, materiales y equipos necesarios para la reorganización exitosa de las particiones internas de muros cortina. Incluye la remoción de puertas existentes, la fabricación e instalación de paneles de vidrio fijos y cualquier ajuste asociado. Los planos de taller se presentarán para aprobación previa.</t>
    </r>
  </si>
  <si>
    <t>A1.1.13</t>
  </si>
  <si>
    <t>Desmontaje de suelos laminados</t>
  </si>
  <si>
    <t>Este punto consiste en el desmontaje cuidadoso del suelo laminado en una zona concreta para su posterior reutilización o reparación en alguna otra zona cercana. El proceso incluye la remoción sistemática del material del piso laminado, asegurando su preservación e integridad para su reubicación.
Las actividades y componentes clave incluyen:
Retire con cuidado el piso laminado existente en el área designada, prestando atención para evitar daños a las tablas o baldosas individuales.
Almacenar de forma segura el suelo laminado desmontado en un área designada en la obra, protegiéndolo de posibles daños durante el proceso de construcción o renovación.</t>
  </si>
  <si>
    <t>A1.1.14</t>
  </si>
  <si>
    <t>Reorganización del piso laminado para permitir ajustes para nuevas posiciones de las paredes</t>
  </si>
  <si>
    <t>Este punto implica una reorganización exhaustiva del piso laminado, abordando específicamente las áreas que quedaron descubiertas debido a la demolición previa de paredes y realizando ajustes para la ubicación de nuevas paredes. El proceso incluye la cuidadosa remoción y reinstalación de secciones de piso laminado para integrarse perfectamente con el plano de planta modificado.
Evaluación de pisos: Evaluar la condición del piso laminado existente en áreas afectadas por demoliciones de paredes anteriores y determinar el alcance de la reorganización requerida.
Retirar sistemáticamente secciones de suelo laminado en zonas afectadas por la demolición de muros específicos, garantizando su conservación para una posible reinstalación.
Preparar el contrapiso para posibles ajustes debido a la eliminación de paredes específicas y garantizar una superficie nivelada para la reinstalación del piso laminado.
Ajustar las secciones de pisos laminados existentes para adaptarse a los cambios en el diseño del piso y reinstalarlos sin problemas para crear una apariencia cohesiva.
Este alcance integral cubre toda la mano de obra, materiales y equipos necesarios para la reorganización exitosa de pisos laminados, enfocándose en áreas específicas que quedaron descubiertas debido a la eliminación de paredes designadas y realizando ajustes para nuevas posiciones de paredes.</t>
  </si>
  <si>
    <t>A1.1.15</t>
  </si>
  <si>
    <t>Reorganización del sistema de falso techo para una apariencia perfecta</t>
  </si>
  <si>
    <t>Este punto implica la reorganización integral de los paneles del falso techo para garantizar una apariencia continua y cohesiva tras la demolición de los muros existentes y la introducción de nuevos tabiques. El proceso incluye la cuidadosa extracción, ajuste y reinstalación de los paneles del falso techo para integrarlos perfectamente con el diseño espacial modificado.
Las actividades y componentes clave incluyen:
Evaluación de la disposición del falso techo existente para identificar las áreas afectadas por el derribo de muros específicos y la introducción de nuevos tabiques.
Retirar sistemáticamente los paneles del techo en áreas directamente afectadas por los cambios en la configuración de las paredes, asegurando su preservación para una posible reinstalación.
Preparar el marco del techo para posibles ajustes debido a la remoción y construcción de paredes específicas y garantizar la integridad estructural para la reinstalación de los paneles del techo.
Ajustar los paneles de techo existentes para adaptarse a los cambios en la distribución espacial y reinstalarlos sin problemas para mantener una apariencia continua y estéticamente agradable.
Suministro e instalación de paneles de falso techo adicionales según sea necesario para completar la apariencia continua, coincidiendo con los paneles existentes en términos de diseño y especificaciones.
El alcance cubre toda la mano de obra, materiales y equipos necesarios para la reorganización exitosa de los paneles del falso techo, enfocándose en crear una apariencia perfecta e ininterrumpida después de la demolición de paredes específicas y la introducción de nuevas paredes divisorias.
Superficie afectada aproximada 200 m2</t>
  </si>
  <si>
    <t>A1.1.16</t>
  </si>
  <si>
    <t>Reemplazo de paneles de techo suspendido dañados</t>
  </si>
  <si>
    <t xml:space="preserve">Este artículo implica el reemplazo de paneles de techo suspendido existentes que han sufrido daños, contienen agujeros de instalaciones anteriores o presentan manchas antiestéticas. El proceso incluye la retirada cuidadosa de los paneles afectados y la instalación de nuevos reemplazos para restaurar la integridad visual del techo.
Las actividades y componentes clave incluyen:
Evaluación del estado de los paneles de techo suspendido para identificar áreas dañadas, que contienen agujeros de instalaciones anteriores o muestran manchas.
Retirar sistemáticamente los paneles dañados identificados, asegurando la correcta eliminación o reciclaje de los materiales de forma ambientalmente responsable.
Preparar el marco del techo para la instalación de nuevos paneles, asegurando una superficie limpia y nivelada.
Adquirir paneles de techo de repuesto de alta calidad que coincidan con el diseño, las dimensiones y las especificaciones existentes.
Instalar los nuevos paneles de techo en las áreas designadas, asegurando un ajuste seguro y nivelado que se alinee con los paneles circundantes.
Este alcance integral cubre toda la mano de obra, materiales y equipos necesarios para el reemplazo exitoso de paneles de techo suspendidos dañados, lo que da como resultado un techo renovado y visualmente atractivo.
</t>
  </si>
  <si>
    <t>A1.1.17</t>
  </si>
  <si>
    <t>Reinstalación de puertas de aluminio existentes previamente desmontadas (D01 01-04)</t>
  </si>
  <si>
    <t>Este alcance del trabajo implica la reinstalación de puertas de aluminio previamente desmanteladas dentro de aberturas recién creadas en paneles de yeso. Las puertas, que han sido cuidadosamente etiquetadas y almacenadas durante el proceso de desmantelamiento, ahora serán reposicionadas de acuerdo con el diseño revisado del proyecto.
Las actividades clave incluyen la preparación de las áreas designadas para la instalación de puertas, incluidos los ajustes necesarios en las aberturas de paneles de yeso. Luego, las puertas de aluminio se reinstalarán con precisión, asegurando una alineación, ajuste y fijación adecuados para mantener su integridad estructural.
Se debe prestar especial atención a la reinstalación de herrajes de puertas, marcos y componentes asociados para garantizar una funcionalidad perfecta y una alineación estética con las superficies de paneles de yeso circundantes.
Este alcance integral cubre toda la mano de obra, materiales y equipos necesarios para la reinstalación exitosa de puertas de aluminio desmanteladas en las nuevas aberturas dentro de los paneles de yeso.
Está incluido en el alcance el desmontaje del falso techo cercano que afecta al tabique.</t>
  </si>
  <si>
    <t>A1.1.18</t>
  </si>
  <si>
    <t>Perforación de losas para penetraciones de cables (Para la sala de reuniones del segundo piso)</t>
  </si>
  <si>
    <t>El alcance del trabajo implica perforar dos orificios en la losa del techo para facilitar la penetración de cables entre pisos. Cada agujero tendrá un diámetro de 50 mm. El contratista es responsable de proporcionar toda la mano de obra, equipos y materiales necesarios para completar las siguientes tareas:
a) El contratista deberá asegurarse de que el área de trabajo esté libre de obstrucciones y marcada adecuadamente para los lugares de perforación. Además, el contratista deberá preparar el piso alrededor de las áreas de extracción de muestras, teniendo cuidado de minimizar el daño a los materiales del piso circundante. Todas las mediciones y marcas necesarias se deberán realizar con precisión.
b) Utilizando herramientas y técnicas adecuadas, el contratista deberá retirar con cuidado el material del piso alrededor de las áreas de extracción para brindar acceso a la losa del techo. Se prestará especial atención a preservar la integridad del piso para su posterior reinstalación.
c) Utilizando una broca de diamante y una máquina perforadora de núcleo adecuada, el contratista perforará dos agujeros a través de la losa del techo en los lugares designados. Se deberá tener cuidado para mantener la precisión y minimizar el daño a las estructuras circundantes.
d) El Contratista deberá cumplir con todos los protocolos y normas de seguridad durante todo el proceso de perforación. Esto incluye el uso de equipo de protección personal (EPP), como gafas de seguridad, guantes y mascarillas contra el polvo.
e) Reinstalación del piso: una vez finalizada la perforación, el contratista deberá reinstalar los materiales del piso retirados alrededor de las áreas de extracción de muestras.</t>
  </si>
  <si>
    <t>A1.1.19</t>
  </si>
  <si>
    <t>Desmontaje y Reinstalación de Accesorios Sanitarios para la Instalación de Azulejos.</t>
  </si>
  <si>
    <t>Desmontaje de accesorios sanitarios existentes del baño para facilitar la instalación de azulejos y su posterior reinstalación una vez que la instalación de azulejos esté completa.
Alcance del trabajo:
Retirar los accesorios sanitarios existentes, incluyendo pero no limitado a inodoros, lavabos, espejos, barras de agarre, etc., del área designada del baño.
Taponar las líneas de suministro de agua y desconectar las conexiones de fontanería según sea necesario para retirar los accesorios de manera segura.
Almacenamiento temporal de los accesorios desmontados en un área designada para evitar daños.
Coordinación con el equipo de instalación de azulejos para garantizar el momento adecuado para el desmontaje y reinstalación de los accesorios.
Al completarse la instalación de azulejos, reinstalar los mismos accesorios sanitarios en sus ubicaciones originales.
Reconexión de las líneas de fontanería y accesorios para garantizar un funcionamiento adecuado.
Pruebas de los accesorios reinstalados para garantizar un funcionamiento adecuado y conexiones sin fugas.
Limpieza del área de trabajo y eliminación de escombros o materiales de embalaje.
Precio a calcular por baño.</t>
  </si>
  <si>
    <t>Costo total de material y costo de mano de obra - LOTE 1</t>
  </si>
  <si>
    <t>3. TERCER NIVEL</t>
  </si>
  <si>
    <t>A1.3.1</t>
  </si>
  <si>
    <t>Suministro e instalación de protección temporal del suelo</t>
  </si>
  <si>
    <t>Proporcione una protección temporal del suelo para salvaguardar el suelo existente durante todas las actividades de demolición, desmantelamiento y nueva construcción.
Asegúrese de que la protección temporal sea duradera, antideslizante y capaz de soportar el tráfico peatonal intenso, el movimiento de equipos y la manipulación de materiales.
El material de protección no debe ser abrasivo para evitar dañar la superficie del suelo existente.
Retirada de la protección temporal al finalizar las obras, asegurándose de que el pavimento existente se deja en su estado original.
El contratista deberá presentar el tipo y las especificaciones de la protección temporal propuesta para su aprobación por el representante del Cliente antes de la instalación.
Cualquier daño causado al pavimento existente debido a una protección inadecuada será responsabilidad del contratista repararlo o sustituirlo.</t>
  </si>
  <si>
    <t>A1.3.2</t>
  </si>
  <si>
    <t>Desmontaje de puertas de aluminio y madera existentes</t>
  </si>
  <si>
    <t>Este trabajo implica el desmontaje cuidadoso de puertas de aluminio y madera instaladas en paredes secas. El proceso se ejecutará con precisión y cuidado para garantizar que las puertas se retiran de forma segura de sus ubicaciones actuales, preservando su integridad estructural y minimizando cualquier daño potencial. A continuación, las puertas de aluminio retiradas se prepararán sistemáticamente para su transporte a la zona de almacenamiento designada dentro de las instalaciones, garantizando el correcto etiquetado y organización de los componentes desmontados para facilitar su identificación y futuro montaje.
Este amplio alcance cubre toda la mano de obra, materiales, equipos y documentación necesarios para el éxito del desmontaje, así como el transporte y almacenamiento en la zona de almacenamiento designada.</t>
  </si>
  <si>
    <t>A1.3.2,1</t>
  </si>
  <si>
    <t>EXAD Puertas de aluminio</t>
  </si>
  <si>
    <t>A1.3.2,2</t>
  </si>
  <si>
    <t>EXWD Puertas de madera</t>
  </si>
  <si>
    <t>A1.3.3</t>
  </si>
  <si>
    <t>Desmontaje de ventanas de aluminio existentes</t>
  </si>
  <si>
    <t>Desmontaje cuidadoso de las ventanas interiores existentes montadas en paredes secas, con las dimensiones que se indican a continuación.
Transporte de los componentes desmontados de la ventana a la zona de almacenamiento designada. Etiquetado y organización adecuados de los componentes desmontados para facilitar su identificación y futuro montaje.</t>
  </si>
  <si>
    <t>A1.3.3,1</t>
  </si>
  <si>
    <t>EXW1 3x1.1 m</t>
  </si>
  <si>
    <t>A1.3.3,2</t>
  </si>
  <si>
    <t>EXW2 1.8-2.2 x 1.1 m</t>
  </si>
  <si>
    <t>A1.3.3,3</t>
  </si>
  <si>
    <t>EXW3 1x1.1m</t>
  </si>
  <si>
    <t>A1.3.4</t>
  </si>
  <si>
    <t>Demolición de las paredes secas existentes según las partes resaltadas en el diseño.</t>
  </si>
  <si>
    <t xml:space="preserve">Este ámbito de trabajo implica la demolición de tabiques de yeso existentes dentro de las zonas del edificio designadas. El proceso de demolición incluye el cuidadoso desmantelamiento y retirada de los materiales de tabiquería seca, los montantes y todos los componentes asociados, incluido el cableado eléctrico y estructural interior. 
Las actividades de demolición se llevarán a cabo de acuerdo con la normativa de seguridad y las normas medioambientales para garantizar un proceso controlado y eficiente. Se prestará especial atención a la correcta eliminación de los materiales demolidos, siguiendo las directrices de gestión de residuos.
El alcance cubre la eliminación de paredes secas en la medida especificada en los planes del proyecto, incluyendo cualquier parche necesario y alisado de superficies después de la demolición de paredes, suelos y techos. Todo el trabajo se llevará a cabo teniendo en cuenta la minimización de las molestias al entorno y a los espacios vecinos dentro del edificio.
Este alcance global abarca toda la mano de obra, materiales, equipos y servicios de eliminación necesarios para la finalización con éxito de la demolición de paneles de yeso, así como la eliminación de secciones de suelo laminado y falsos techos en las zonas afectadas por la demolición de paredes específicas, garantizando la preservación para su posible reinstalación.
</t>
  </si>
  <si>
    <t>A1.3.5</t>
  </si>
  <si>
    <t>Desmontaje de placas de yeso para instalación de fibra de vidrio para paredes acústicas</t>
  </si>
  <si>
    <t>Retire los paneles de yeso existentes de forma sistemática, asegurándose de dañar lo menos posible las estructuras circundantes y la estructura de soporte. Utilizar las herramientas y técnicas adecuadas para desprender cuidadosamente los paneles de yeso sin comprometer la integridad de la estructura de soporte. Asegúrese de que la estructura de soporte permanece intacta y sin daños para facilitar la inserción de la fibra de vidrio en la cavidad y la posterior instalación de los paneles acústicos. Retire todos los elementos de fijación, como tornillos o clavos, de los montantes o la estructura de la pared. Transporte los paneles de yeso desmontados y cualquier otro material de desecho a las zonas de eliminación designadas. Asegúrese de que la eliminación de los paneles de yeso desmontados cumple la normativa local, incluidos los requisitos de transporte y carga. Realice una limpieza a fondo de la zona de trabajo para eliminar el polvo, los escombros y los residuos de la construcción.</t>
  </si>
  <si>
    <t>A1.3.6</t>
  </si>
  <si>
    <t>Desmontaje de tabiques interiores de aluminio/vidrio</t>
  </si>
  <si>
    <t>Este punto implica el desmantelamiento cuidadoso y sistemático de las particiones internas de aluminio y vidrio, incluidas las puertas, dentro de las áreas especificadas del edificio, incluidas las puertas como parte del componente general. El proceso incluye la retirada de los componentes, la conservación de los materiales reutilizables y la eliminación adecuada de los elementos no reutilizables.
Las actividades y componentes clave incluyen:
Desmontaje cuidadoso y conservación de los componentes considerados reutilizables, como marcos de aluminio, paneles de vidrio y puertas, para su posible reinstalación o reciclaje.
Eliminación responsable de los materiales no reutilizables, incluidos los componentes de vidrio o aluminio que no cumplan los criterios de conservación o reciclaje, de acuerdo con la normativa medioambiental.
Evaluar y, en caso necesario, restaurar las superficies afectadas por el proceso de desmontaje, incluidas paredes y suelos, para garantizar un acabado liso y estéticamente agradable.
El alcance cubre toda la mano de obra, materiales y equipos necesarios para el desmantelamiento cuidadoso y eficiente de las particiones internas de aluminio y vidrio, así como la cortina de yeso colgante adjunta , con un enfoque en la preservación de los materiales reutilizables y el mantenimiento de la limpieza del sitio.
Los materiales que no vayan a ser reutilizados deberán ser transportados y almacenados en el lugar indicado por el cliente.</t>
  </si>
  <si>
    <t>A1.3.7</t>
  </si>
  <si>
    <t>Desmantelamiento de Kitchenete, transporte y almacenamiento en la zona designada</t>
  </si>
  <si>
    <t>Desmontaje y desmantelamiento de la cocineta, incluidas las encimeras, los cajones, los estantes, el fregadero, las conexiones de agua y alcantarillado y cualquier otro componente, garantizando una manipulación cuidadosa para evitar daños.
Retirada de fijaciones, tornillos y otros elementos que sujeten el mueble de la cocina al suelo o a la pared. Embalaje y protección de los componentes desmontados para evitar arañazos, abolladuras u otros posibles daños relacionados con el transporte.
Carga y transporte de los muebles de cocina desmontados a la zona de almacenamiento designada utilizando el equipo de manipulación adecuado.
Descarga y colocación de los componentes desmontados en la zona de almacenamiento designada, organizados de forma que se facilite el montaje y se minimice la utilización del espacio.
Gestión del inventario y documentación de todos los componentes desmontados para garantizar que estén completos y facilitar su recuperación durante el montaje.</t>
  </si>
  <si>
    <t>A1.3.8</t>
  </si>
  <si>
    <t>Retirada de persianas existentes en las ventanas</t>
  </si>
  <si>
    <t>Retire con seguridad las persianas de las ventanas de las zonas del edificio señaladas en el plano de demolición. Manipularlas con cuidado para evitar dañar las persianas, las ventanas o las estructuras circundantes. Desmontar las persianas según sea necesario para una retirada eficaz, teniendo cuidado de conservar los componentes para su posible reutilización o reciclaje.
Carga y transporte de las persianas desmontadas a la zona de almacenamiento designada utilizando el equipo de manipulación adecuado. Descarga y colocación de los componentes desmontados en la zona de almacenamiento designada, organizados de forma que se facilite el montaje y se minimice la utilización del espacio. Gestión del inventario y documentación de todos los componentes desmontados para garantizar que estén completos y facilitar una recuperación eficaz durante el montaje.</t>
  </si>
  <si>
    <t>A1.3.9</t>
  </si>
  <si>
    <t>Desmontaje del suelo existente</t>
  </si>
  <si>
    <t>A1.3.9,1</t>
  </si>
  <si>
    <t xml:space="preserve">Desmontaje de suelos laminados y de madera </t>
  </si>
  <si>
    <t>Se trata del cuidadoso desmontaje del suelo laminado y de madera en un área específica para la posterior instalación de otro tipo de suelo y para permitir la construcción de nuevos tabiques divisorios. El proceso incluye la retirada sistemática del material del suelo laminado, garantizando su conservación e integridad para su reinstalación.
Las actividades y componentes clave incluyen
Retirada cuidadosa del suelo laminado existente en la zona designada, prestando atención para evitar daños a las tablas o losetas individuales.
Almacenamiento seguro del suelo laminado desmontado en una zona designada in situ, protegiéndolo de posibles daños durante el proceso de construcción o renovación.</t>
  </si>
  <si>
    <t>A1.3.9,2</t>
  </si>
  <si>
    <t>Demolición del suelo de baldosas del pasillo principal</t>
  </si>
  <si>
    <t>Retirada y demolición de las baldosas existentes en la zona del cooridor principal, según se indica en el plano de demolición, para permitir la reinstalación de baldosas nuevas y conseguir gradualmente una transición de nivel entre las baldosas nuevas y las existentes.
Utilización de herramientas y equipos adecuados para la retirada segura y eficaz de las baldosas, incluidos martillos rompedores, martillos neumáticos y martillos de demolición.
Eliminación de las baldosas retiradas y los escombros asociados de acuerdo con la normativa local sobre eliminación de residuos.
Protección de las superficies y acabados circundantes para evitar daños durante las actividades de demolición.
Inspección del estado del subsuelo tras la retirada de las baldosas para evaluar cualquier daño o irregularidad.
Limpieza de la superficie y preparación del subsuelo para la posterior instalación del pavimento.
Inspección final y despeje de la zona de demolición para garantizar la finalización y preparación para la instalación del nuevo suelo.</t>
  </si>
  <si>
    <t>A1.3.10</t>
  </si>
  <si>
    <t>Reordenación de la zona de suelo laminado tras la construcción de un nuevo tabique divisorio</t>
  </si>
  <si>
    <t xml:space="preserve">Esta partida incluye la reordenación del suelo laminado en las zonas previamente desmontadas para permitir el desmontaje y la instalación de nuevos tabiques divisorios, abordando las zonas con ajustes para la colocación de los nuevos tabiques. El proceso incluye la reinstalación del suelo laminado en las secciones previamente desmontadas para permitir una integración perfecta con la planta modificada. 
El alcance de los trabajos incluye el ajuste de las secciones de suelo laminado existentes para acomodarlas a los cambios en la distribución del suelo y reinstalarlas a la perfección para crear un aspecto cohesivo.
Este amplio alcance cubre toda la mano de obra, materiales y equipos necesarios para la reordenación satisfactoria del suelo laminado, centrándose en las áreas específicas que quedaron sin cubrir debido a la eliminación de las paredes designadas y acomodando los ajustes para las nuevas posiciones de las paredes.
El precio incluirá la instalación de zócalos en las juntas del suelo laminado con la pared. 
</t>
  </si>
  <si>
    <t>A1.3.11</t>
  </si>
  <si>
    <t>Desmontaje de falsos techos modulares con conservación para reutilización de placas de techo</t>
  </si>
  <si>
    <t>Desmontar el sistema de techo suspendido modular existente con el objetivo principal de preservar las bandejas del techo para su reutilización. Asegúrese de retirar y manipular con cuidado las bandejas del techo para mantener su estado e integridad para una futura instalación.
Almacenar las bandejas retiradas en una zona designada, protegidas de la humedad, el polvo y otros factores ambientales que puedan causar daños.
Garantizar una organización y gestión del inventario adecuadas para hacer un seguimiento y documentar las bandejas conservadas para su reutilización.Lista de inventario de las bandejas conservadas, especificando cantidades, tamaños y evaluaciones del estado.</t>
  </si>
  <si>
    <t>A1.3.12</t>
  </si>
  <si>
    <t>Demolición de 3 baños existentes</t>
  </si>
  <si>
    <t>Demolición y retirada de todos los aparatos sanitarios existentes, incluidos inodoros, lavabos y accesorios asociados. Retirada de todas las tuberías y accesorios de fontanería conectados a los sanitarios, incluidos los tubos de desagüe, las tuberías de suministro y los accesorios.
Demolición y eliminación de todos los azulejos de paredes y suelos, incluidos los restos de adhesivo o lechada.
Desmontaje de todos los armarios, encimeras, espejos y accesorios existentes en el cuarto de baño.
Desmontaje y eliminación de todos los accesorios de iluminación, tomas de corriente, interruptores y cableado relacionados con el cuarto de baño.
Transporte de todos los escombros de la demolición, accesorios, tuberías, azulejos y otros materiales a la zona de vertido designada o a la instalación de eliminación de residuos.
Limpieza de la zona de demolición para garantizar que queda libre de escombros y residuos de construcción.
El precio se calculará por superficie de todos los cuartos de baño.</t>
  </si>
  <si>
    <t>Costo total de material y costo de mano de obra - LOTE 2</t>
  </si>
  <si>
    <t>5. QUINTO NIVEL</t>
  </si>
  <si>
    <t>Desinstalación y reinstalación de suelos laminados</t>
  </si>
  <si>
    <t>Retirada y desinstalación del suelo laminado existente en toda la zona designada.
Retirada cuidadosa de los paneles de suelo laminado para minimizar los daños y preservar su reutilización.
Almacenamiento y protección de los paneles de suelo laminado retirados en una zona designada in situ para evitar daños durante las actividades de construcción.
Preparación de la superficie del subsuelo para la reinstalación del suelo laminado, incluyendo nivelación, limpieza y resolución de cualquier problema del subsuelo.
Reinstalación de los paneles de suelo laminado retirados previamente en toda la zona designada tras la finalización de los nuevos tabiques divisorios.
Alineación y ajuste de los paneles de suelo laminado para garantizar un aspecto uniforme y sin juntas.
Aplicación de los adhesivos, contrapisos u otros materiales necesarios para la correcta instalación del suelo laminado.
Inspección final y limpieza del suelo laminado instalado para garantizar su calidad y aspecto.</t>
  </si>
  <si>
    <t>Suministro e instalación de perfiles terminales de aluminio (unión con mamparas de cristal)</t>
  </si>
  <si>
    <t>Suministro e instalación de Zócalos Flexibles de Poliuretano, con una altura de plinto de 100 mm.</t>
  </si>
  <si>
    <t>Desmontaje de puertas de aluminio existentes</t>
  </si>
  <si>
    <t>Este trabajo implica el desmontaje cuidadoso de puertas de aluminio instaladas en paredes secas. El proceso se ejecutará con precisión y cuidado para garantizar que las puertas se retiran de forma segura de sus ubicaciones actuales, preservando su integridad estructural y minimizando cualquier daño potencial. A continuación, las puertas de aluminio retiradas se prepararán sistemáticamente para su transporte a la zona de almacenamiento designada, garantizando el correcto etiquetado y organización de los componentes desmontados para facilitar su identificación y futuro montaje.
Este alcance integral cubre toda la mano de obra, materiales, equipos y documentación necesarios para el desmantelamiento exitoso, así como el transporte y almacenamiento en el área de almacenamiento designada.</t>
  </si>
  <si>
    <t xml:space="preserve">Este alcance de trabajo implica la demolición de tabiques de yeso existentes dentro de las áreas de construcción designadas. El proceso de demolición incluye el cuidadoso desmantelamiento y retirada de los materiales de tabiquería seca, montantes y todos los componentes asociados.
Las actividades de demolición se llevarán a cabo de acuerdo con las normas de seguridad y medioambientales para garantizar un proceso controlado y eficiente. Se prestará especial atención a la correcta eliminación de los materiales demolidos, siguiendo las directrices de gestión de residuos.
El alcance cubre la eliminación de muros secos en la medida especificada en los planes del proyecto, incluyendo cualquier parche necesario y alisado de superficies después de la demolición de paredes, suelos y techos. Todo el trabajo se llevará a cabo teniendo en cuenta la minimización de las molestias al entorno y a los espacios vecinos dentro del edificio.
Este alcance global abarca toda la mano de obra, materiales, equipos y servicios de eliminación necesarios para la finalización con éxito de la demolición de paneles de yeso.
</t>
  </si>
  <si>
    <t>Desmontaje del techo modular suspendido existente</t>
  </si>
  <si>
    <t>Retirada y desmontaje de los componentes modulares de techos suspendidos existentes, incluidas las bandejas de techo, los patines principales, las tes transversales, los perfiles perimetrales, los cables de suspensión y cualquier otro material asociado.
Eliminación de los componentes modulares del techo retirados de acuerdo con la normativa local sobre eliminación de residuos.
Coordinación con otros gremios, como el eléctrico y el de climatización, para garantizar unas operaciones de desmontaje seguras y eficientes.
Limpieza final y desbroce de la zona desmontada para garantizar que esté lista para las actividades de construcción posteriores.</t>
  </si>
  <si>
    <t>Demolición del revestimiento de azulejos del pasillo principal</t>
  </si>
  <si>
    <t>Demolición del cuarto de baño existente</t>
  </si>
  <si>
    <t>Costo total de material y costo de mano de obra - LOTE 3</t>
  </si>
  <si>
    <t>6. SEXTO NIVEL</t>
  </si>
  <si>
    <t>Este trabajo implica el desmontaje cuidadoso de puertas de aluminio instaladas en paredes secas. El proceso se ejecutará con precisión y cuidado para garantizar que las puertas se retiran de forma segura de sus ubicaciones actuales, preservando su integridad estructural y minimizando cualquier daño potencial. A continuación, las puertas de aluminio retiradas se prepararán sistemáticamente para su reinstalación en posiciones alternativas. Esto incluye el etiquetado adecuado, la documentación y el almacenamiento seguro para evitar cualquier deterioro o daño durante el período provisional.</t>
  </si>
  <si>
    <t>Desmontaje del mobiliario del mostrador de recepción y de los accesorios de madera fijados a la pared y al techo, transporte y almacenamiento en la zona designada.</t>
  </si>
  <si>
    <t xml:space="preserve">Desmontaje y desmantelamiento de los muebles del mostrador de recepción, incluidos los mostradores, cajones, estantes y cualquier otro componente, así como las vigas de madera decorativas de la pared y el techo, asegurándose siempre de manipularlos con cuidado para evitar daños.
Retirada de fijaciones, tornillos y otros elementos que sujetan el mobiliario del mostrador de recepción y las decoraciones al suelo o a la pared. Embalaje y protección de los componentes desmontados para evitar arañazos, abolladuras u otros posibles daños relacionados con el transporte.
Carga y transporte de los muebles de recepción desmontados a la zona de almacenamiento designada utilizando el equipo de manipulación adecuado.
Descarga y colocación de los componentes desmontados en la zona de almacenamiento designada, organizados de forma que se facilite el montaje y se minimice la utilización del espacio.
Gestión del inventario y documentación de todos los componentes desmontados para garantizar que estén completos y facilitar una recuperación eficaz durante el montaje.
</t>
  </si>
  <si>
    <t>Retirada y reinstalación temporal de mobiliario de oficina y persianas para demolición y nueva construcción de muros</t>
  </si>
  <si>
    <t>Desmontaje seguro y retirada temporal del mobiliario de oficina, incluidos escritorios, sillas, armarios y otros elementos móviles, de las zonas designadas para la demolición y la nueva construcción de muros. Desinstalación y retirada de persianas o cortinas de las ventanas de las zonas de trabajo designadas. Etiquetado y documentación adecuados de los muebles y persianas retirados para una reinstalación eficaz.
Transporte de los muebles y persianas retirados a una zona de almacenamiento segura dentro de las instalaciones, según se indique. Envoltura o cobertura protectora de los muebles y persianas para protegerlos del polvo, escombros o posibles daños durante las actividades de demolición y construcción.
Almacenamiento de los muebles y persianas envueltos o protegidos en un lugar seguro, organizados para facilitar su recuperación y reinstalación. Coordinación con los representantes del cliente para garantizar la alineación con los calendarios de construcción y la secuencia de las actividades.
Reinstalación del mobiliario de oficina en la zona terminada una vez finalizada la demolición y la nueva construcción de las paredes. Manipulación y colocación cuidadosa de los muebles y persianas para garantizar su correcta ubicación y funcionalidad en el espacio recién construido. Retirada de los revestimientos protectores y limpieza de los restos resultantes del proceso de reinstalación para devolver la zona a su estado original.</t>
  </si>
  <si>
    <t>Demolición de muros secos existentes</t>
  </si>
  <si>
    <t>Demolición de los muros secos existentes H=3,5 m según las partes resaltadas en el diseño</t>
  </si>
  <si>
    <t>Demolición de tabiques colgantes existentes sobre mamparas interiores de cristal</t>
  </si>
  <si>
    <t xml:space="preserve">Este alcance de trabajo implica la demolición de tabiques de yeso existentes dentro de las áreas de construcción designadas. El proceso de demolición incluye el cuidadoso desmantelamiento y retirada de materiales de tabiquería seca, montantes y componentes asociados.
Las actividades de demolición se llevarán a cabo de acuerdo con las normas de seguridad y medioambientales para garantizar un proceso controlado y eficiente. Se prestará especial atención a la correcta eliminación de los materiales demolidos, siguiendo las directrices de gestión de residuos.
El alcance cubre la eliminación de muros secos en la medida especificada en los planes del proyecto, incluyendo cualquier parche necesario y alisado de superficies después de la demolición de paredes, suelos y techos. Todo el trabajo se llevará a cabo teniendo en cuenta la minimización de las molestias al entorno y a los espacios vecinos dentro del edificio.
 El alcance abarca toda la mano de obra, materiales, equipos y servicios de eliminación necesarios para completar con éxito la demolición de los paneles de yeso. 
El desmontaje del falso techo cercano que afecta al tabique está incluido en el alcance. 
</t>
  </si>
  <si>
    <t>Desmontaje de tabiques interiores de aluminio/vidrio (EXIP01-03)</t>
  </si>
  <si>
    <t>Este punto implica el desmantelamiento cuidadoso y sistemático de las particiones internas de aluminio y vidrio dentro de las áreas especificadas del edificio, incluidas las puertas como parte del componente general. El proceso incluye la retirada de los componentes, la conservación de los materiales reutilizables y la eliminación adecuada de los elementos no reutilizables.
Las actividades y componentes clave incluyen:
Desmontaje cuidadoso y conservación de los componentes considerados reutilizables, como marcos de aluminio y paneles de vidrio, para su posible reinstalación o reciclaje.
Eliminación responsable de los materiales no reutilizables, incluidos los componentes de vidrio o aluminio que no cumplan los criterios de conservación o reciclaje, de acuerdo con la normativa medioambiental.
Evaluar y, en caso necesario, restaurar las superficies afectadas por el proceso de desmontaje, incluidas paredes y suelos, para garantizar un acabado liso y estéticamente agradable.
El alcance cubre toda la mano de obra, materiales y equipos necesarios para el desmantelamiento cuidadoso y eficiente, de las particiones internas de aluminio y vidrio, así como la cortina de yeso adjunta. Las piezas que no se vayan a reutilizar se transportarán y almacenarán en el lugar indicado por el cliente.</t>
  </si>
  <si>
    <t>Reinstalación de tabiques de aluminio/vidrio con disposición revisada y nueva posición de la puerta GP03 3000x2400 mm (EXIP03 - GP03)</t>
  </si>
  <si>
    <t>Esta partida consiste en la reinstalación de mamparas de aluminio y cristal que han sido previamente desmontadas. La reinstalación incorporará una disposición/ajuste revisados para las nuevas posiciones de las puertas. El proceso incluye una cuidadosa reconstrucción, alineación e integración de componentes para lograr la configuración espacial actualizada.
Las actividades y componentes clave incluyen
Inventario de los componentes de aluminio y vidrio reutilizables de los tabiques desmontados, asegurándose de que cumplen las especificaciones para la reinstalación.
Modificación y ajuste de los componentes de aluminio y vidrio existentes, incluidos marcos, paneles y conectores, para alinearlos con la disposición revisada y las nuevas posiciones de las puertas.
Reinstalación de los tabiques de aluminio y vidrio ajustados de acuerdo con la disposición revisada, garantizando la alineación adecuada y la integridad estructural.
 Instalación de la puerta en la nueva posición especificada en el diseño revisado, incluidos los herrajes necesarios, como manillas, cerraduras y bisagras.
El alcance cubre toda la mano de obra, los materiales y el equipo necesarios para la reinstalación satisfactoria de los tabiques de aluminio y cristal con una disposición revisada y nuevas posiciones de las puertas, lo que da como resultado una configuración interior actualizada y funcional.</t>
  </si>
  <si>
    <t>Demolición de techo suspendido de yeso existente</t>
  </si>
  <si>
    <t>Demoler y retirar el techo suspendido de placas de yeso existente junto con los accesorios asociados, incluyendo luces, rejillas, componentes de aire acondicionado y otros componentes que se designen para su reutilización. Esta demolición es necesaria para facilitar la demolición de los tabiques existentes y la construcción de nuevos tabiques en una disposición diferente. Garantizar la retirada segura y eficiente de todos los componentes del techo minimizando los daños a las estructuras y acabados circundantes..
Retire y elimine todos los materiales y escombros del techo demolido de acuerdo con la normativa local y las directrices de eliminación de residuos. Organizar los métodos de eliminación apropiados, como la eliminación en vertedero o el reciclado, según proceda.
Tome medidas para proteger las zonas circundantes y los acabados de posibles daños durante el proceso de demolición. Utilice barreras temporales, cubiertas protectoras u otros medios para proteger las estructuras, el mobiliario y los acabados adyacentes.
Proporcione instalaciones de almacenamiento temporal o áreas designadas en el lugar para el almacenamiento de instalaciones y componentes reutilizados. Asegúrese de que las zonas de almacenamiento sean seguras, estén protegidas de las inclemencias del tiempo y sean fácilmente accesibles para su posterior recuperación.</t>
  </si>
  <si>
    <t>Rehabilitación de falso techo de placas de yeso tras la demolición de paredes secas cercanas y la instalación de paredes nuevas</t>
  </si>
  <si>
    <t xml:space="preserve">Esta partida consiste en la rehabilitación integral de un falso techo de placas de yeso que se ha visto afectado por la demolición de paredes secas cercanas y la instalación de una nueva pared. 
El alcance de los trabajos incluye: Preparación de la estructura del techo para la instalación de nuevas placas de yeso, considerando los ajustes necesarios debido a la presencia de nuevas paredes, asegurando una superficie limpia y nivelada.
Adquisición de placas de yeso de sustitución de alta calidad que coincidan con el diseño, las dimensiones y las especificaciones existentes.
Instalación de las nuevas placas de yeso en las zonas designadas, garantizando un ajuste seguro y nivelado que se alinee con las placas circundantes y se adapte a la nueva configuración de la pared. Garantizar un aspecto uniforme ajustando la posición y alineación de las placas de sustitución para que se integren perfectamente con el techo existente y las nuevas paredes. Aplicación de los acabados o revestimientos necesarios a las placas de yeso de sustitución para que coincidan con el techo existente y mejoren la estética general.
Reinstalación de todos los accesorios desmontados en la ubicación anterior si es posible debido a la nueva disposición.
</t>
  </si>
  <si>
    <t>Reorganización del sistema de falsos techos para una apariencia sin fisuras</t>
  </si>
  <si>
    <t>Esta partida consiste en la reordenación completa de los paneles del falso techo para garantizar un aspecto continuo y cohesivo tras la demolición de las paredes existentes y la introducción de nuevos tabiques divisorios. El proceso incluye la cuidadosa retirada, ajuste y reinstalación de los paneles del techo para que se integren perfectamente con la disposición espacial modificada.
Las actividades y componentes clave incluyen
Evaluación de la disposición existente del falso techo para identificar las zonas afectadas por la demolición de paredes específicas y la introducción de nuevos tabiques.
Retirada sistemática de los paneles del techo en las zonas directamente afectadas por los cambios en la configuración de las paredes, garantizando su conservación para una posible reinstalación.
Preparar la estructura del techo para posibles ajustes debidos a la retirada y construcción de paredes específicas y garantizar la integridad estructural para la reinstalación de los paneles del techo.
Ajustar los paneles de techo existentes para acomodarlos a los cambios en la disposición espacial y reinstalarlos sin fisuras para mantener un aspecto continuo y estéticamente agradable.
Suministro e instalación de paneles de falso techo adicionales según sea necesario para completar la apariencia continua, igualando los paneles existentes en términos de diseño y especificaciones.
El alcance cubre toda la mano de obra, materiales y equipos necesarios para la reordenación satisfactoria de los paneles de falso techo, centrándose en la creación de un aspecto continuo e ininterrumpido tras la demolición de paredes específicas y la introducción de nuevas paredes divisorias.</t>
  </si>
  <si>
    <t>Sustitución de placas de falso techo dañadas</t>
  </si>
  <si>
    <t xml:space="preserve">Este artículo implica el reemplazo de paneles de techo suspendido existentes que han sufrido daños, contienen agujeros de instalaciones anteriores o presentan manchas antiestéticas. El proceso incluye la retirada cuidadosa de los paneles afectados y la instalación de nuevos reemplazos para restaurar la integridad visual del techo.
Las actividades y componentes clave incluyen:
Evaluación del estado de los paneles de techo suspendido para identificar áreas dañadas, que contienen agujeros de instalaciones anteriores o muestran manchas.
Retirar sistemáticamente los paneles dañados identificados, asegurando la correcta eliminación o reciclaje de los materiales de forma ambientalmente responsable.
Preparar el marco del techo para la instalación de nuevos paneles, asegurando una superficie limpia y nivelada.
Adquirir paneles de techo de repuesto de alta calidad que coincidan con el diseño, las dimensiones y las especificaciones existentes.
Instalar los nuevos paneles de techo en las áreas designadas, asegurando un ajuste seguro y nivelado que se alinee con los paneles circundantes.
Este alcance integral cubre toda la mano de obra, materiales y equipos necesarios para el reemplazo exitoso de paneles de techo suspendidos dañados, lo que da como resultado un techo renovado y visualmente atractivo.
</t>
  </si>
  <si>
    <t>Desmontaje de suelos laminados y de madera</t>
  </si>
  <si>
    <t>Este punto consiste en el desmontaje cuidadoso del suelo laminado en una zona específica para la posterior instalación de diferentes tipos de suelo y para permitir la construcción de nuevos tabiques. El proceso incluye la remoción sistemática del material del piso laminado, asegurando su conservación e integridad para su reinstalación.
Las actividades y componentes clave incluyen:
Retire con cuidado el piso laminado existente en el área designada, prestando atención para evitar daños a las tablas o baldosas individuales.
Almacenar de forma segura el suelo laminado desmontado en un área designada en la obra, protegiéndolo de posibles daños durante el proceso de construcción o renovación.</t>
  </si>
  <si>
    <t>Reorganización del área de piso laminado después de la construcción de una nueva pared divisoria</t>
  </si>
  <si>
    <t xml:space="preserve">Este ítem involucra un reordenamiento del piso laminado en las áreas previamente removidas para permitir el desmantelamiento e instalación de nuevos tabiques, abordando áreas que acomodan ajustes para la colocación de nuevos muros. El proceso incluye la reinstalación del piso laminado en las secciones previamente desmanteladas para permitir que se integren perfectamente con el plano de planta modificado.
El alcance de los trabajos incluye ajustar las secciones de pisos laminados existentes para adaptarse a los cambios en el diseño del piso y reinstalarlos sin problemas para crear una apariencia cohesiva.
Este alcance integral cubre toda la mano de obra, materiales y equipos necesarios para la reorganización exitosa de pisos laminados, enfocándose en áreas específicas que quedaron descubiertas debido a la eliminación de paredes designadas y realizando ajustes para nuevas posiciones de paredes.
Precio que incluye instalación de rodapié en las uniones del suelo laminado con la pared.
</t>
  </si>
  <si>
    <t>Proporcione protección temporal para pisos para salvaguardar los pisos existentes durante todas las actividades de demolición, desmantelamiento y construcción nueva.
Asegúrese de que la protección temporal sea duradera, antideslizante y capaz de soportar el tráfico peatonal intenso, el movimiento de equipos y la manipulación de materiales.
El material de protección no debe ser abrasivo para evitar daños a la superficie del piso existente.
Retirada de la protección temporal al finalizar las obras, garantizando que el pavimento existente se mantenga en su estado original.
El contratista deberá presentar el tipo propuesto y las especificaciones de protección temporal para la aprobación del representante del Cliente antes de la instalación.
Cualquier daño causado al piso existente debido a una protección inadecuada será responsabilidad del contratista para repararlo o reemplazarlo.</t>
  </si>
  <si>
    <t>Creación y Cierre de Abertura Temporal en Drywall</t>
  </si>
  <si>
    <t>Alcance de las obras:
Creación de una abertura temporal en drywall entre áreas de oficinas para facilitar la circulación de los empleados durante las obras de construcción.
Dimensiones de apertura: 1,8 metros (ancho) x 2,2 metros (alto).
Instalación de marco temporal o estructura de soporte para mantener la estabilidad y seguridad durante el período de apertura.
Cierre de la abertura temporal con el mismo material de paneles de yeso al finalizar las obras de construcción.</t>
  </si>
  <si>
    <t>Creación de cierre temporal de piso a techo</t>
  </si>
  <si>
    <t>Instalación de un cierre temporal de piso a techo para evitar el polvo y el ruido del trabajo de construcción y restringir el acceso de los trabajadores de la construcción a los espacios de oficina para empleados.
El cierre deberá realizarse mediante paneles de madera contrachapada o cualquier otra forma de pared temporal que se considere adecuada para bloquear los puntos de acceso entre las zonas de construcción y oficinas. Dimensiones de cierre aproximadamente 1200x2600 mm.</t>
  </si>
  <si>
    <t>Extracción de paneles eléctricos, cables y enchufes de paneles de yeso en la ruta de salida de emergencia para protección contra incendios</t>
  </si>
  <si>
    <t>El alcance de las obras incluye:
Desmontaje y retiro de paneles eléctricos, cables y enchufes instalados dentro del panel de yeso ubicado a lo largo del camino de salida de emergencia.
Desconexión cuidadosa de las conexiones eléctricas para garantizar la seguridad y evitar daños a la estructura circundante.
Eliminación de conductos, cableado y accesorios asociados que están integrados en el sistema de paneles de yeso.
Etiquetado e identificación de componentes eléctricos desconectados para su adecuada documentación y posible reutilización.
Cumplimiento de las normas y estándares de protección contra incendios que rigen las rutas de salida de emergencia para mitigar los peligros potenciales.
Parche y sellado de aberturas en los paneles de yeso resultantes del proceso de remoción para restaurar la integridad estructural y la resistencia al fuego.
Eliminación adecuada de los componentes eléctricos retirados de acuerdo con las regulaciones ambientales y los requisitos del proyecto.</t>
  </si>
  <si>
    <t>Reinstalación de la puerta de aluminio EXD6-A01</t>
  </si>
  <si>
    <t>Costo total de material y costo de mano de obra - LOTE 4</t>
  </si>
  <si>
    <t>0. SOTANO DE PARQUEO</t>
  </si>
  <si>
    <t>Desmontaje de puertas de madera.</t>
  </si>
  <si>
    <t>Este alcance del trabajo implica el desmantelamiento de las puertas de madera de una sola hoja existentes instaladas dentro de paneles de yeso en las áreas de almacenamiento con dimensiones de ancho: 1,05 x 2,2 m. El proceso se ejecutará con precisión y cuidado para garantizar que las puertas se retiren de forma segura de sus ubicaciones actuales, preservando su integridad estructural y minimizando cualquier daño potencial. Luego, las puertas retiradas se prepararán para su transporte al área de almacenamiento designada, asegurando el etiquetado y la organización adecuados de los componentes desmantelados para facilitar su identificación y futuro reensamblaje.
Este alcance integral cubre toda la mano de obra, materiales, equipos y documentación necesarios para el desmantelamiento exitoso, así como el transporte y almacenamiento al área de almacenamiento designada.</t>
  </si>
  <si>
    <t>Reinstalación de puerta de aluminio previamente desmontada</t>
  </si>
  <si>
    <t>Este alcance del trabajo implica la reinstalación de la puerta de aluminio previamente desmantelada del 3er piso en el sótano. Las puertas de aluminio, que han sido cuidadosamente etiquetadas y almacenadas durante el proceso de desmontaje, ahora serán reposicionadas de acuerdo con el diseño revisado del proyecto.
Las actividades clave incluyen la preparación de las áreas designadas para la instalación de puertas, incluidos los ajustes necesarios en las aberturas de paneles de yeso. Luego, las puertas de aluminio se reinstalarán con precisión, asegurando una alineación, ajuste y fijación adecuados para mantener su integridad estructural.
Se debe prestar especial atención a la reinstalación de herrajes de puertas, marcos y componentes asociados para garantizar una funcionalidad perfecta y una alineación estética con las superficies de paneles de yeso circundantes.
Este alcance integral cubre toda la mano de obra, materiales y equipos necesarios para la reinstalación exitosa de puertas de aluminio desmanteladas en las nuevas aberturas dentro de los paneles de yeso.</t>
  </si>
  <si>
    <t>Puerta de aluminio RDR1-B01 1800x2200</t>
  </si>
  <si>
    <t xml:space="preserve">unidad </t>
  </si>
  <si>
    <t>Suministro e Instalación de Puerta Simple de Chapa con Marco de Acero para Almacenamiento MDR1- B01</t>
  </si>
  <si>
    <t>Puertas de una hoja, dimensiones: 1050x2200 mm (la dimensión precisa se medirá en el sitio)
Especificación de material:
Espesor de chapa metálica 1,5 mm, que incluye bisagras, pestillo, manija y cualquier otro herraje necesario para la completa funcionalidad de la puerta. Marco dentro de la hoja de la puerta hecho de secciones de caja de 25x25x 3 mm, soldadas de forma segura a la hoja de la puerta, lo que garantiza una conexión fuerte y permanente.
Estructura principal hecha de secciones de caja de acero de 50 mm x 50 mm x 5 mm para igualar las dimensiones de apertura de la puerta y garantizar un ajuste y alineación adecuados.
Instalación:
Ancle de forma segura los perfiles de acero del marco de la puerta a la estructura circundante utilizando sujetadores adecuados, asegurando la estabilidad y la integridad estructural. Cuelgue la puerta de chapa de las bisagras y alinéela con el marco de acero. Asegure las bisagras a la hoja de la puerta y al marco utilizando tornillos o pernos adecuados. Instale el pestillo, la manija y cualquier hardware adicional para garantizar un funcionamiento suave y una funcionalidad adecuada. Ajuste las bisagras, el pestillo y el hardware según sea necesario para garantizar la alineación, el funcionamiento y la seguridad adecuados.
Preparación de planos de taller que muestren las dimensiones y configuración de la puerta, el marco y el marco.</t>
  </si>
  <si>
    <t>Costo total de material y costo de mano de obra - LOTE 5</t>
  </si>
  <si>
    <t>GRAND TOTAL LOTE 1 + LOTE 2+ LOTE 3 + LOTE 4 + LOTE 5</t>
  </si>
  <si>
    <t>Vigencia de la Oferta</t>
  </si>
  <si>
    <t>RFQ Autorizada por:</t>
  </si>
  <si>
    <t>Nombre</t>
  </si>
  <si>
    <t>Firma</t>
  </si>
  <si>
    <t>Cargo</t>
  </si>
  <si>
    <t>Compañía</t>
  </si>
  <si>
    <t>Sello</t>
  </si>
  <si>
    <t>LOTE 1</t>
  </si>
  <si>
    <t>New partitions Ubicación/Sitio1: Adecuación del Piso 1</t>
  </si>
  <si>
    <t>Vlr Unit $</t>
  </si>
  <si>
    <t>Sistema de muro cortina, incluidas las puertas D3 y D4 según el croquis EXF-A01 9100x2800 mm</t>
  </si>
  <si>
    <t>Alcance del trabajo:
Revisión y comprensión de los bocetos y especificaciones proporcionados para el nuevo sistema de muro cortina.
Adquisición de materiales según especificaciones, incluidos marcos de muros cortina, paneles de vidrio, marcos de puertas, herrajes y accesorios.
Preparación del área de instalación, incluida la limpieza, nivelación y garantía de cimientos o estructuras de soporte adecuados.
Instalación del marco del muro cortina de acuerdo con los bocetos y especificaciones proporcionados, asegurando la alineación, el espaciado y el anclaje adecuados.
Instalación de acristalamiento utilizando técnicas y materiales adecuados para garantizar la estanqueidad a la intemperie, la integridad estructural y el rendimiento térmico.
Instalación de una puerta doble con barra de empuje y una puerta simple, incluidos marcos de puerta, bisagras, manijas, barras de empuje, cerraduras y otros herrajes necesarios.
Ajuste y alineación de puertas para asegurar un buen funcionamiento y un correcto sellado.
Vidrio templado t=8mm con cantos pulidos y perfiles de Aluminio con acabado anodizado y espesor mín. 2mm. Plano de taller que se presentará para aprobación previa con todos los certificados de materiales.
Prueba y puesta en marcha del sistema de muro cortina y puertas instalados para garantizar la funcionalidad, la seguridad y el cumplimiento de las normas y especificaciones pertinentes.
Coordinación con otros oficios según sea necesario para integrar el sistema de muro cortina con el control de acceso y otros requisitos técnicos.
Limpieza final del área de instalación y remoción de cualquier residuo generado durante el proceso de instalación.</t>
  </si>
  <si>
    <t>Paneles de yeso  RGW01</t>
  </si>
  <si>
    <t>Instalación de Paneles de Yeso Nuevos H=3.5m (Placas de 2.7m, Estructura de 3.5m)</t>
  </si>
  <si>
    <t>Instalación de Nuevo Parapeto de Paneles de Yeso H=1,1m</t>
  </si>
  <si>
    <t>Instalación de plafones colgantes de paneles de yeso H=o,9 m, sobre el sistema de partición de vidrio, solo estructura de soporte, sin paneles de yeso</t>
  </si>
  <si>
    <t>Instalación de nuevos paneles de yeso personalizados IF01-A01 según el dibujo detallado H=3,5 m (placas de 2,7 m, estructura de 3,5 m) en el área de juegos infantiles A</t>
  </si>
  <si>
    <t>Instalación de paneles de yeso personalizados IF01-A02 según plano detallado H=1,1 my horizontal 0,4 m.</t>
  </si>
  <si>
    <t>2.5.1</t>
  </si>
  <si>
    <t>Zona de juegos infantiles A</t>
  </si>
  <si>
    <t>2.5.2</t>
  </si>
  <si>
    <t>Zona de juegos infantiles B</t>
  </si>
  <si>
    <t>Instalación de Paneles de Yeso Nuevos a una cara H=2,7 m</t>
  </si>
  <si>
    <t>Instalación de Nuevos Paneles de Yeso a una cara H=1,1m, junto al muro cortina. Precio para incluir película oscura en el cristal.</t>
  </si>
  <si>
    <t xml:space="preserve">This item encompasses the installation of new drywalls . The process involves the construction of partition walls using drywall materials to create defined spaces according to the revised floor plan.
Key activities and components include:
Conducting a thorough site survey and collaborating with Client representative to determine the l layout for the new drywalls
Procuring high-quality drywall sheets, framing components, fasteners, and any additional materials required for the construction of new partition walls as per Technichal Specifications. 
 Erecting the framing structure for the new drywalls, ensuring proper alignment and structural integrity, with the use of metal studs as per Technical Specifications
Affixing the drywall sheets onto the framing structure, securing them in place with appropriate fasteners. Ensuring a seamless and flush fit between adjacent sheets.
Precisely cutting drywall sheets to accommodate openings for doors, windows, or any other architectural features outlined in the reconfiguration plan.
Applying joint tape and joint compound (mud) to seams and joints between drywall sheets, creating a smooth and continuous surface for finishing.
Sanding the drywall surface to achieve a uniform and smooth texture, preparing it for the application of paint or other finishes.
Applying a primer coat followed by paint or other finishes as specified in the project requirements. Ensuring a visually cohesive appearance that aligns with the overall design.
Thoroughly cleaning the work area, removing any construction debris, and ensuring the newly installed drywalls are free from dust or residues.
</t>
  </si>
  <si>
    <t>Installation of Soundproof Drywalls RGW STC49</t>
  </si>
  <si>
    <t xml:space="preserve">Installation of Acoustic drywall system RGW STC49  H=3.5m </t>
  </si>
  <si>
    <t xml:space="preserve">Installation of Acoustic drywall system RGW STC49  H=1.1m </t>
  </si>
  <si>
    <t>Installation of New  Hanging Acoustic Drywall soffits RGW STC49  H=1.45m, above glass partition system</t>
  </si>
  <si>
    <t xml:space="preserve">Este rubro engloba la instalación de paneles de yeso insonorizados, con el objetivo de mejorar el rendimiento acústico y minimizar la transmisión de sonido entre espacios designados. El proceso de instalación implica el uso de materiales de paneles de yeso especializados y la creación de una barrera que amortigua eficazmente la transmisión del sonido.
Las actividades y componentes clave incluyen:
 Adquirir láminas de paneles de yeso de alta calidad diseñadas específicamente para aislamiento acústico, según los requisitos de Especificaciones técnicas y planos de diseño.
Obtención de materiales adicionales, incluidos canales resilientes, materiales aislantes y selladores acústicos, necesarios para un rendimiento óptimo de insonorización.
Erigir la estructura de marco junto al panel de yeso existente utilizando canales en contacto directo entre el panel de yeso y la estructura existente. Garantizar la colocación precisa de los elementos de marco para soportar las láminas de panel de yeso insonorizadas. Colocar las láminas de paneles de yeso insonorizadas en la estructura del armazón, asegurando un ajuste perfecto y una instalación segura. Emplear selladores acústicos para sellar espacios o juntas, mejorando la eficacia general de la insonorización. Instalar aislamiento que absorba el sonido dentro de la cavidad creada por la estructura del marco para mejorar aún más el rendimiento acústico. Preparar la superficie para los toques finales, asegurando una apariencia suave y visualmente atractiva. Aplicar una capa de imprimación seguida de pintura u otros acabados según lo especificado en los requisitos del proyecto. Garantizar una apariencia visualmente cohesiva que se alinee con el diseño general.
Realizar pruebas exhaustivas para evaluar la eficacia de insonorización del sistema de paneles de yeso instalado. Realizar los ajustes necesarios para garantizar un rendimiento acústico óptimo.
</t>
  </si>
  <si>
    <t xml:space="preserve">Instalación de Mamparas de Vidrio con Vidrio Laminado
</t>
  </si>
  <si>
    <t>W01-A01 7600x1500 mm+ door 1100x2100+500 mm, Area A</t>
  </si>
  <si>
    <t>pcs</t>
  </si>
  <si>
    <t>W01- A02 5300x1500+ door 1100x2100+500 mm, Area B</t>
  </si>
  <si>
    <t>W01-A03 3000x1500 mm, Area A</t>
  </si>
  <si>
    <t>W01-A04 2400x1500 mm+ door 1100x2100+500 mm, Area A</t>
  </si>
  <si>
    <t>W01-A05 2400x1500 mm Area A</t>
  </si>
  <si>
    <t>W01-A06 1100x1500 mm+ door 1100x2100+500 mm, Area A</t>
  </si>
  <si>
    <t>Suministro e instalación de mamparas de vidrio de vidrio laminado, compuestas por dos capas de vidrio de 5 mm de espesor unidas entre sí con una capa intermedia transparente, incluyendo la puerta del mismo material de vidrio laminado con herrajes, incluyendo bisagras, manijas, cerraduras y todo lo necesario. hardware.
Instalación de perfiles de aluminio para soporte y fijación de los paneles de vidrio laminado. Los perfiles de aluminio serán de aluminio extrusionado de alta calidad, con un espesor mínimo de 2 mm. Los perfiles de aluminio tendrán un acabado anodizado transparente para brindar resistencia a la corrosión y mejorar la estética. Los perfiles se diseñarán para adaptarse de forma segura al espesor de los paneles de vidrio laminado, con disposiciones para expansión y contracción.
La instalación de mamparas de vidrio deberá realizarse de acuerdo con los estándares de la industria y las recomendaciones del fabricante para garantizar la integridad estructural y la seguridad.
El Contratista deberá proporcionar planos de taller y muestras de materiales y especificaciones basadas en los Planos y Especificaciones técnicas, para su aprobación previa antes del inicio del proceso de fabricación.</t>
  </si>
  <si>
    <t>Instalación de Puerta de Vidrio Laminado Sin Marco (Espesor 5+5 mm) FDR1-A01 1100X2200</t>
  </si>
  <si>
    <t xml:space="preserve">Suministro e instalación de una puerta de vidrio laminado con un espesor total de vidrio de 5+5 mm y capa intermedia, completa con todos los componentes necesarios para una entrada segura y estéticamente agradable. El proceso abarca la integración de la puerta en la apertura designada, garantizando la funcionalidad adecuada, la seguridad y el cumplimiento de los estándares especificados.
Los componentes y actividades clave incluyen:
  Suministro e instalación de puerta de vidrio laminado de 12mm de espesor. El vidrio debe ser de alta calidad, cumplir con los estándares de seguridad y brindar durabilidad.
Incorpora bisagras de pivote hidráulico de alta calidad, todos los demás componentes de hardware, como manijas y cerraduras INOX, tope de puerta para facilitar el funcionamiento suave y mejorar la seguridad. Las muestras se proporcionarán para la aprobación previa de la OIM.
El alcance cubre toda la mano de obra, materiales y equipos necesarios para la instalación exitosa de una puerta de vidrio laminado con un espesor de 12 mm, proporcionando una entrada segura y visualmente atractiva.
</t>
  </si>
  <si>
    <t>Suministro e instalación de salidas Push Bar en puertas de cristal/aluminio existentes.</t>
  </si>
  <si>
    <t>Puertas dobles</t>
  </si>
  <si>
    <t xml:space="preserve">Dispositivos de salida con barra de empuje adecuados para puertas dobles, cumpliendo con las normas de seguridad y códigos de construcción pertinentes.
Juego compuesto por 2 barras de empuje y tiradores de puerta.
Material y acabado: acero inoxidable.
Sistema de recogida de picaporte eléctrico para el control remoto de las barras antipánico. Incluye dispositivo de retracción del picaporte eléctrico, fuente de alimentación, cableado e integración con sistema de control de acceso.
 </t>
  </si>
  <si>
    <t>Puerta sencilla</t>
  </si>
  <si>
    <t xml:space="preserve">Dispositivos de salida con barra de empuje adecuados para puertas simples, cumpliendo con las normas de seguridad y códigos de construcción pertinentes.
Juego compuesto por 1 barra de empuje y 1 tirador de puerta.
Material y acabado: acero inoxidable.
Sistema de recogida de picaporte eléctrico para el control remoto de las barras antipánico. Incluye dispositivo de retracción del picaporte eléctrico, fuente de alimentación, cableado e integración con sistema de control de acceso.
 </t>
  </si>
  <si>
    <t>Instalación de tapa de MDF con acabado de madera en parapeto de paneles de yeso</t>
  </si>
  <si>
    <t>Suministro y entrega de paneles MDF espesor mín. 18 mm con acabado en madera apto para su uso como superficie superior sobre el parapeto de paneles de yeso.
Preparación de la superficie de la pared del parapeto de paneles de yeso para garantizar una adhesión y planitud adecuadas para la instalación de la parte superior de MDF.
Corte y colocación de paneles de MDF con acabado de madera para que coincidan con las dimensiones y contornos del parapeto de paneles de yeso.
Fijación de paneles de MDF a la superficie superior del parapeto de paneles de yeso utilizando adhesivo o sujetadores adecuados.
Sellado y acabado de uniones y juntas con el muro cortina e instalación de bordes de perfiles de aluminio para lograr una apariencia suave y uniforme también en las juntas con el muro cortina de vidrio.</t>
  </si>
  <si>
    <t>ancho b=40 mm</t>
  </si>
  <si>
    <t>ancho b=30 mm</t>
  </si>
  <si>
    <t>ancho b=20 mm</t>
  </si>
  <si>
    <t>LOTE 2</t>
  </si>
  <si>
    <t>New partitions /Sitio3 : Adecuación del Piso 3</t>
  </si>
  <si>
    <t>Paneles de yeso RGW01</t>
  </si>
  <si>
    <t>Instalación de Paneles de Yeso Nuevos H=3.5m (Placas de 2.6m, estructura de 3.5m).</t>
  </si>
  <si>
    <t>Instalación de paneles de yeso nuevos de un solo lado H = 3,5 m (placas de 2,6 m, estructura de 3,5 m). Código: DW-1s</t>
  </si>
  <si>
    <t>Instalación de paneles de yeso nuevos de un solo lado H = 3,5 m junto al muro cortina (paneles de 2,6 m, estructura de 3,5 m). El precio incluye la instalación de la película oscura para ventanas en el vidrio.</t>
  </si>
  <si>
    <t xml:space="preserve">Este rubro comprende la instalación de paneles de yeso nuevos. El proceso implica la construcción de tabiques utilizando materiales de paneles de yeso para crear espacios definidos de acuerdo con el plano de planta revisado.
Las actividades y componentes clave incluyen:
Adquirir láminas de paneles de yeso de alta calidad, componentes de marco, sujetadores y cualquier material adicional necesario para la construcción de nuevos tabiques según las especificaciones técnicas.
  Montaje de la estructura de marco para los nuevos paneles de yeso, asegurando la alineación adecuada y la integridad estructural, con el uso de montantes metálicos según las Especificaciones Técnicas.
Fijar las láminas de paneles de yeso a la estructura del armazón, asegurándolas en su lugar con los sujetadores adecuados. Garantizando un ajuste perfecto y al ras entre láminas adyacentes.
Aplicar cinta para juntas y compuesto para juntas (barro) a las uniones y juntas entre láminas de paneles de yeso, creando una superficie lisa y continua para el acabado.
Lijar la superficie del panel de yeso para lograr una textura uniforme y lisa, preparándola para la aplicación de pintura u otros acabados.
Aplicar una capa de imprimación seguida de pintura u otros acabados según lo especificado en los requisitos del proyecto. Garantizar una apariencia visualmente cohesiva que se alinee con el diseño general.
</t>
  </si>
  <si>
    <t>Instalación de Parapeto de Paneles de Yeso Nuevo de un solo lado H=1.0m.</t>
  </si>
  <si>
    <t>1.3.1</t>
  </si>
  <si>
    <t xml:space="preserve">Este rubro comprende la instalación de paneles de yeso nuevos. El proceso implica la construcción de un parapeto utilizando solo materiales de paneles de yeso en un lado (el otro lado no necesitará láminas de paneles de yeso)
Las actividades y componentes clave incluyen:
Adquirir láminas de paneles de yeso de alta calidad, componentes de marco, sujetadores y cualquier material adicional necesario para la construcción de nuevos tabiques según las especificaciones técnicas.
  Montaje de la estructura de marco para los nuevos paneles de yeso, asegurando la alineación adecuada y la integridad estructural, con el uso de montantes metálicos según las Especificaciones Técnicas.
Fijar las láminas de paneles de yeso a la estructura del armazón, asegurándolas en su lugar con los sujetadores adecuados. Garantizando un ajuste perfecto y al ras entre láminas adyacentes.
Aplicar cinta para juntas y compuesto para juntas (barro) a las uniones y juntas entre láminas de paneles de yeso, creando una superficie lisa y continua para el acabado.
Lijar la superficie del panel de yeso para lograr una textura uniforme y lisa, preparándola para la aplicación de pintura u otros acabados.
Aplicar una capa de imprimación seguida de pintura u otros acabados según lo especificado en los requisitos del proyecto. Garantizar una apariencia visualmente cohesiva que se alinee con el diseño general.
Las paredes del parapeto recibirán una tapa de MDF que se cotizará como un artículo separado.
Los parapaets junto al muro cortina deben contener tablas unidas al muro cortina, para restringir la visibilidad de los montantes desde el exterior.
</t>
  </si>
  <si>
    <t>Paneles de yeso resistentes a la humedad para baños.</t>
  </si>
  <si>
    <t>Instalación de paneles de yeso resistentes a la humedad H = 3,5 m que incluyen lana mineral para rendimiento acústico y panel de yeso acústico en el otro lado.</t>
  </si>
  <si>
    <t>Instalación de Paneles de Yeso Resistentes a la Humedad H=3,5m (placas de 2,6m, estructura de 3,5m).
*Incluye baño accesible en el 2do piso.</t>
  </si>
  <si>
    <t>Instalación de placa de yeso resistente a la humedad a una cara Parapeto de paneles de yeso H=1,5m. junto al muro cortina. El precio incluye película oscura en el vidrio y perfil en L de aluminio/acero inoxidable en la unión de azulejos con vidrio y perfiles de pared cortina.</t>
  </si>
  <si>
    <t>Instalación de placa de yeso resistente a la humedad a una cara Parapeto de paneles de yeso H=1,5m.
*Incluye baño accesible en el 2do piso.</t>
  </si>
  <si>
    <t xml:space="preserve">Los elementos anteriores abarcan la instalación de nuevos paneles de yeso resistentes a la humedad. El proceso implica la construcción de tabiques utilizando materiales de paneles de yeso resistentes a la humedad para crear espacios de baño definidos de acuerdo con el plano de planta.
Las actividades y componentes clave incluyen:
Adquirir láminas de paneles de yeso resistentes a la humedad de alta calidad, componentes de marco, sujetadores y cualquier material adicional necesario para la construcción de nuevos tabiques según las especificaciones técnicas.
  Montaje de la estructura de marco para los nuevos paneles de yeso, asegurando la alineación adecuada y la integridad estructural, con el uso de montantes metálicos según las Especificaciones Técnicas.
Fijar las láminas de paneles de yeso a la estructura del armazón, asegurándolas en su lugar con los sujetadores adecuados. Garantizando un ajuste perfecto y al ras entre láminas adyacentes.
Aplicar cinta para juntas y compuesto para juntas (barro) a las uniones y juntas entre láminas de paneles de yeso, creando una superficie lisa y continua para el acabado.
Lijar la superficie del panel de yeso para lograr una textura uniforme y lisa, preparándola para la aplicación de azulejos y pintura.
Cuando corresponda, aplicar una capa de imprimación seguida de pintura u otros acabados según lo especificado en los requisitos del proyecto. Garantizar una apariencia visualmente cohesiva que se alinee con el diseño general.
</t>
  </si>
  <si>
    <t xml:space="preserve">Paneles de yeso acústicos RGW STC49 </t>
  </si>
  <si>
    <t>Actualización de paneles de yeso existentes a paneles de yeso acústicos RGW STC49U H=3.5m. U-ADW</t>
  </si>
  <si>
    <t xml:space="preserve">
Inserción de aislamiento de fibra de vidrio t=75 mm R19 en las cavidades entre los montantes de la pared para mejorar el rendimiento acústico.
Instalación de nuevos paneles acústicos de yeso en ambos lados, similares al panel Sheetrock Gypsum, en la estructura de la pared existente, asegurando una alineación adecuada y fijándolos en su lugar con los sujetadores adecuados.
Extensión de la pared existente hasta el techo en aproximadamente 1 metro, incluido el marco, la instalación de paneles de yeso acústicos, la cinta adhesiva y el acabado para crear una transición perfecta entre la pared existente y el techo.
Aplicación de compuesto para juntas, lijado y acabado para lograr una textura superficial suave y uniforme.
Pintura de las paredes renovadas, color a aprobar por el Cliente.
Detalle : RGW STC49U
Nota: La eliminación de una cara de los paneles de yeso existentes se incluye como elemento separado en el BoQ de demolición.</t>
  </si>
  <si>
    <t>Instalación de Paneles de Yeso Acústicos RGW STC49 H=3,5 m.</t>
  </si>
  <si>
    <t xml:space="preserve">This item encompasses the installation of soundproof drywalls , aiming to enhance acoustic performance and minimize the transmission of sound between designated spaces. The installation process involves the use of specialized drywall materials  to create a barrier that effectively dampens sound transmission.
Key activities and components include:
 Adquirir láminas de paneles de yeso de alta calidad diseñadas específicamente para aislamiento acústico, según los requisitos de Especificaciones Técnicas y los planos de diseño detallados RGW STC49.
Obtención de materiales adicionales, incluidos canales resilientes, materiales aislantes como fibra de vidrio y selladores acústicos, necesarios para un rendimiento óptimo de insonorización.
Levantar la estructura de marco utilizando un canal asegurando la colocación precisa de los elementos de marco para soportar las láminas de paneles de yeso insonorizadas. Colocar las láminas de paneles de yeso insonorizadas en la estructura del armazón, asegurando un ajuste perfecto y una instalación segura. Emplear selladores acústicos para sellar espacios o juntas, mejorando la eficacia general de la insonorización. Instalar aislamiento absorbente de sonido dentro de la cavidad creada por la estructura de armazón para mejorar el rendimiento acústico. Preparar la superficie para los toques finales, asegurando una apariencia suave y visualmente atractiva. Aplicar una capa de imprimación seguida de pintura u otros acabados según lo especificado en los requisitos del proyecto. Garantizar una apariencia visualmente cohesiva que se alinee con el diseño general.
Realizar pruebas exhaustivas para evaluar la eficacia de insonorización del sistema de paneles de yeso instalado. Realizar los ajustes necesarios para garantizar un rendimiento acústico óptimo.
El contratista debe proporcionar planos de taller basados en las instrucciones del fabricante y la hoja de datos técnicos.
</t>
  </si>
  <si>
    <t>Installation of Acoustic Drywall soffits  RGW STC49 H=1.35, above glass partition system. SADWInstalación de Muros suspendidos de Drywall Acústico RGW STC49 H=1,35, sobre sistema de mampara de vidrio. SADW</t>
  </si>
  <si>
    <t>Instalación de plafones de paneles de yeso insonorizados que se extienden desde la losa superior hasta la parte superior de la mampara de vidrio, según planos y especificaciones arquitectónicas.
Suministro e instalación de canales resilientes o clips de aislamiento acústico sobre el forjado existente para minimizar la transmisión del sonido.
Colocación de materiales absorbentes del sonido, como aislamiento de lana mineral, dentro de la cavidad de los plafones para mejorar el rendimiento acústico.
Instalación de paneles de yeso en los canales elásticos o clips de aislamiento acústico para formar los plafones, asegurando una alineación adecuada y una fijación segura.
Sellado de juntas, bordes y penetraciones con selladores o cintas acústicas para evitar fugas de sonido.
Coordinación con otros oficios, como electricidad y plomería, para acomodar instalaciones que atraviesen particiones de paneles de yeso.
Aplicación de una capa de imprimación y dos manos de pintura sobre los plafones a juego con el acabado de las paredes, incluyendo cualquier preparación necesaria como lijado y relleno de imperfecciones hasta el nivel del falso techo.</t>
  </si>
  <si>
    <t>Paneles de yeso resistentes al fuego</t>
  </si>
  <si>
    <t xml:space="preserve">Instalación de paneles de yeso resistentes al fuego con certificación UL Diseño U419 de 2 horas FRDW H=3,5 m. </t>
  </si>
  <si>
    <t>Este artículo describe el suministro y la instalación de paneles de yeso resistentes al fuego con certificación UL de 2 horas para crear una barrera resistente al fuego en áreas designadas.
Este elemento del BoQ incluye la adquisición e instalación de paneles de yeso con clasificación ignífuga de 2 horas con certificación UL en áreas donde la resistencia al fuego es una consideración crítica.
Proporcione paneles de yeso resistentes al fuego con certificación UL y una clasificación de resistencia al fuego de al menos 2 horas.
El panel de yeso deberá tener un núcleo de yeso y una cara de papel que cumpla con las especificaciones de UL para resistencia al fuego. El espesor del panel de yeso resistente al fuego deberá estar de acuerdo con las Especificaciones Técnicas del proyecto y el detalle del Plano U419.
Instale miembros de la estructura compatibles con paneles de yeso resistentes al fuego de 3-5/8", asegurando un soporte y fijación adecuados. Los materiales de la estructura deben cumplir con los estándares industriales y códigos de construcción relevantes para construcciones resistentes al fuego. Instale lana mineral resistente al fuego de 2 horas para rellenar la cavidad según el detalle del dibujo.
Monte la estructura de forma segura, instale lana mineral en la cavidad siguiendo los planos de taller aprobados y garantizando el cumplimiento de las normas de seguridad contra incendios. Fije el panel de yeso resistente al fuego con certificación UL a los miembros de la estructura, asegurando un ajuste perfecto y una fijación segura. Selle juntas, bordes y penetraciones con sellador resistente al fuego para mantener la integridad de la barrera resistente al fuego.
Termine las superficies de paneles de yeso resistentes al fuego con compuesto para juntas, cinta y esquineros para lograr una apariencia suave y visualmente atractiva. Prepare las superficies para pintura u otros tratamientos de acabado según lo especificado en los requisitos del proyecto.
Aplicar una capa de imprimación seguida de pintura u otros acabados según lo especificado en los requisitos del proyecto. Garantizar una apariencia visualmente cohesiva que se alinee con el diseño general.</t>
  </si>
  <si>
    <t>Instalación de paneles de yeso con placa de cemento resistente al fuego de seguridad mejorada</t>
  </si>
  <si>
    <t>Estructura de acero formada por poste SHS 90x90x4 mm H=3500mm / 1,2 m y SHS horizontal de media altura 75x75x3mm</t>
  </si>
  <si>
    <t>Suministro e instalación de postes de estructura de acero de sección hueca cuadrada (SHS) con dimensiones de 90x90x4 mm para ser utilizados como soporte adicional para elementos de estructura de paneles de yeso.
Fabricación y montaje del marco SHS para lograr una altura de 3500 mm con una distancia entre postes de 1200 mm de centro a centro según detalle del dibujo.
Anclaje de postes de estructura SHS al techo y suelo de hormigón mediante placas de acero y anclajes de hormigón
Marco para incluir elemento horizontal SHS 75x75 mm t=3mm fijado en media altura del poste principal mediante perfil en L y tornillería de acero o soldado
Coordinación con el representante del Cliente para garantizar la colocación y el anclaje adecuados del marco SHS para mejorar la estabilidad estructural.
Precio a incluir pintura con pintura anticorrosión.
El precio se dará por la longitud del elemento de estructura según la descripción anterior y el detalle del dibujo.
Se proporcionará un plano de taller para su revisión antes de comenzar la instalación.</t>
  </si>
  <si>
    <t>Instalación de paneles de yeso con clasificación de fuego mejorada y seguridad de diseño UL de 2 horas H=3,5 m.</t>
  </si>
  <si>
    <t>Alcance de las obras:
Suministro e instalación de paneles de yeso resistentes al fuego de fibra de cemento de 1" (25 mm) de doble capa según especificación del proyecto y planos de detalle.
Estructura de marco de 3 5/8" según las especificaciones y dibujos que se unirá al marco de acero recién construido.
Instalación de doble capa de tableros de fibra de cemento de 25 mm de espesor en ambos lados de la estructura del armazón para lograr una mayor resistencia al fuego y seguridad.
Relleno de la cavidad entre los paneles de fibra de cemento con aislamiento de lana mineral resistente al fuego para mejorar las propiedades de aislamiento acústico.
Fije los tableros de fibra de cemento con resistencia al fuego de 2 horas a la estructura de acero utilizando tornillos o sujetadores apropiados, asegurando una alineación adecuada y una fijación segura.
Sellado de juntas, bordes y penetraciones con cintas o selladores resistentes al fuego para mantener la integridad del conjunto resistente al fuego.
Coordinación con otros oficios, como electricidad y plomería para acomodar instalaciones dentro de tabiques de paneles de yeso.
Acabado de superficies de paneles de yeso con compuesto para juntas, lijado y pintura para lograr una apariencia suave y uniforme, si es necesario.
Pruebas y certificación del sistema de paneles de yeso con clasificación de incendio instalado para garantizar el cumplimiento de las normas y regulaciones de clasificación de incendio especificadas.</t>
  </si>
  <si>
    <t>Instalación de paneles de yeso resistentes al fuego con diseño UL de seguridad mejorada de 2 horas FRDW H=3,5 m, unidos al panel de yeso existente.</t>
  </si>
  <si>
    <t>Alcance de las obras:
Suministro e instalación de tablero de fibra de cemento de 1" de espesor a la estructura de paneles de yeso existente según detalle del plano.
Estructura de marco de 3 5/8" según las especificaciones y dibujos que se unirá al marco de acero recién construido.
  Instalación de doble capa de tableros de fibra de cemento de 25 mm de espesor en el otro lado de la estructura de acero para lograr una mayor resistencia al fuego y seguridad.
Relleno de la cavidad entre los paneles de fibra de cemento con aislamiento de lana mineral resistente al fuego para mejorar las propiedades de aislamiento acústico.
Fijación de tableros de fibra de cemento a la estructura de paneles de yeso y estructura de acero existente utilizando tornillos o sujetadores adecuados, asegurando una alineación adecuada y una fijación segura.
Sellado de juntas, bordes y penetraciones con cintas o selladores resistentes al fuego para mantener la integridad del conjunto resistente al fuego.
Coordinación con otros oficios, como electricidad y plomería para acomodar instalaciones dentro de tabiques de paneles de yeso.
Acabado de superficies de paneles de yeso con compuesto para juntas, lijado y pintura para lograr una apariencia suave y uniforme, si es necesario.
Pruebas y certificación del sistema de paneles de yeso con clasificación de incendio instalado para garantizar el cumplimiento de las normas y regulaciones de clasificación de incendio especificadas.</t>
  </si>
  <si>
    <t>Instalación de molduras HPL en juntas de paneles de yeso y muros cortina</t>
  </si>
  <si>
    <t>Mida y corte con precisión los espesores de molduras HPL (laminado de alta presión) de un mínimo de 6 mm para que se ajusten a la junta entre el nuevo panel de yeso y el muro cortina existente.
Instale molduras HPL en ambos lados del panel de yeso para cubrir perfectamente la junta y crear una transición perfecta entre las dos superficies.
Aplique una capa de sellador de silicona a lo largo de la junta después de la instalación de la moldura HPL para brindar un acabado estético adicional.
Asegúrese de que la moldura de HPL y el sellador de silicona estén aplicados de forma segura y alineados correctamente con el panel de yeso y el muro cortina para lograr un acabado profesional.
Utilice sujetadores mecánicos o adhesivos adecuados para asegurar la moldura de HPL en su lugar, teniendo cuidado de seguir las recomendaciones del fabricante para la instalación.</t>
  </si>
  <si>
    <t>Instalación de puertas de acero cortafuegos (EI120)</t>
  </si>
  <si>
    <t xml:space="preserve">FRD3 - 01 :1200x2200 mm con barra de empuje </t>
  </si>
  <si>
    <t>FRD3 - 02 :1100x2200 mm con barra de empuje</t>
  </si>
  <si>
    <t>Alcance del trabajo:
Adquisición y suministro de puertas de acero con recubrimiento en polvo y barra de empuje, fabricadas según especificaciones de resistencia al fuego de 2 horas.
Fabricación de láminas de acero para revestimiento de puertas, de espesor mínimo 1,6 mm, con capa de poliuretano para resistencia al fuego. Fabricación y suministro de marcos de acero para cada puerta, diseñados según las especificaciones y planos proporcionados. Suministro de todas las fijaciones, accesorios, anclajes y materiales de soldadura necesarios para una instalación segura.
Instalación de puertas y marcos de acero según instrucciones del fabricante y planos aprobados. Montaje de barras de empuje y otros herrajes para garantizar un funcionamiento suave y el cumplimiento de las normas de seguridad.
Pintura de puertas y marcos al color y acabado requerido, asegurando durabilidad y atractivo estético. Pruebas y certificación de puertas cortafuegos para garantizar el cumplimiento de las normas y especificaciones pertinentes. Planos de taller y certificados que se presentarán a la OIM para su aprobación previa.</t>
  </si>
  <si>
    <t>Instalación de Mamparas de Vidrio con Vidrio Laminado</t>
  </si>
  <si>
    <t xml:space="preserve">W03-A01  3350x2150 mm </t>
  </si>
  <si>
    <t xml:space="preserve">W03-A02  1000x2150 mm </t>
  </si>
  <si>
    <t xml:space="preserve">W03-A03   3750x2150 mm </t>
  </si>
  <si>
    <t xml:space="preserve">W03-A04   2650x2150 mm </t>
  </si>
  <si>
    <t xml:space="preserve">W03-A05   2800x2150 mm </t>
  </si>
  <si>
    <t xml:space="preserve">W03-A06   2000x2150 mm </t>
  </si>
  <si>
    <t xml:space="preserve">W03-A07   2950x2150 mm </t>
  </si>
  <si>
    <t xml:space="preserve">W03-A08   1800x2150 mm </t>
  </si>
  <si>
    <t xml:space="preserve">W03-A09   2900x2150 mm </t>
  </si>
  <si>
    <t xml:space="preserve">W03-A10   3300x2150 mm </t>
  </si>
  <si>
    <t xml:space="preserve">W03-A11   3100x2150 mm </t>
  </si>
  <si>
    <t xml:space="preserve">W03-A12   2200x2150 mm </t>
  </si>
  <si>
    <t>W03-A13   1400x2150 mm fixed</t>
  </si>
  <si>
    <t>W03-A14   3100x2150 mm fixed</t>
  </si>
  <si>
    <t>Reordenamiento de mampara de vidrio mediante elementos previamente desmontados EXIPR</t>
  </si>
  <si>
    <t>Reutilización y reorganización de elementos de partición de vidrio previamente desmantelados, incluidos paneles de vidrio, perfiles y puertas, para crear el nuevo diseño de partición según los dibujos y especificaciones arquitectónicos revisados.
Inspección y evaluación de paneles y perfiles de vidrio existentes para detectar cualquier daño o defecto, y reparaciones o reemplazos necesarios según sea necesario.
Reinstalación de paneles de vidrio existentes dentro del diseño de la partición utilizando perfiles existentes o perfiles nuevos compatibles si es necesario, asegurando una alineación adecuada y una fijación segura.
Incorporación de la puerta existente previamente desmontada dentro de la nueva distribución del tabique, incluyendo bisagras, tiradores, cerraduras y cualquier herraje necesario, garantizando su correcto funcionamiento y seguridad.
Ajuste y modificación de perfiles y hardware existentes según sea necesario para adaptarse a la nueva configuración de partición.
Pruebas de la mampara y puerta de vidrio instaladas para garantizar el correcto funcionamiento y el cumplimiento de las normas de seguridad.</t>
  </si>
  <si>
    <t>EXIPr-01 2600x2400</t>
  </si>
  <si>
    <t>EXIPr-02 3600x2400</t>
  </si>
  <si>
    <t>EXIPr-03 1100x2400  Puerta+ventana del travesaño</t>
  </si>
  <si>
    <t>Reinstalación de puertas de madera EXWD3 previamente desmontadas</t>
  </si>
  <si>
    <t>`Inspección y evaluación de puertas de madera previamente desmontadas en busca de daños, defectos o componentes faltantes.
Reparación, renovación o reemplazo de cualquier pieza dañada o faltante de las puertas de madera desmanteladas, incluidos marcos, bisagras, manijas, cerraduras y herrajes, según sea necesario.
Reinstalación de las puertas de madera previamente desmontadas en sus nuevas ubicaciones según planos y especificaciones arquitectónicas.
Ajuste de los marcos y aberturas de las puertas para acomodar las puertas de madera reinstaladas, asegurando un ajuste y alineación adecuados.
Instalación de manijas de puertas, cerraduras y otros herrajes, incluidos los ajustes necesarios para su correcto funcionamiento.
Pruebas de puertas de madera instaladas para garantizar su correcto funcionamiento, incluidos los mecanismos de apertura, cierre y bloqueo.
+1 en el baño accesible del segundo piso</t>
  </si>
  <si>
    <t>Instalación de parrilla y rodapié en puertas de madera de inodoros existentes</t>
  </si>
  <si>
    <t>Suministro e instalación de parrilla de acero inoxidable de dimensiones 300x300 mm y zócalo de 200 mm de altura en las puertas de madera existentes que se reubicarán en Toilettes.
Mida y marque las posiciones apropiadas para la parrilla y el rodapié en las puertas de madera. Fije la parrilla de forma segura a la puerta usando los tornillos adecuados.
Fije el rodapié de forma segura a la parte inferior de la puerta utilizando los tornillos adecuados.</t>
  </si>
  <si>
    <t>10.1.1</t>
  </si>
  <si>
    <t>Parrilla 300x150mm</t>
  </si>
  <si>
    <t>10.1.2</t>
  </si>
  <si>
    <t>Placa de proteccion h=200mm</t>
  </si>
  <si>
    <t>Puertas de Servicio Metálicas para Cuadros Eléctricos MSD3</t>
  </si>
  <si>
    <t xml:space="preserve">Suministro e instalación de puertas de servicio metálicas dobles para cubrir cuadros eléctricos, dando acceso para fines de mantenimiento e inspección.
Fabricación o adquisición de puertas metálicas con las dimensiones adecuadas que se muestran a continuación para adaptarse a los paneles eléctricos especificados, generalmente hechas de acero o aluminio para mayor durabilidad y seguridad.
Incorporación de rejillas de ventilación o lamas en las puertas para permitir el flujo de aire y la disipación del calor de los cuadros eléctricos, asegurando una correcta ventilación y evitando el sobrecalentamiento.
Instalación de cerraduras, manijas y bisagras en las puertas metálicas para asegurarlas en su lugar y restringir el acceso no autorizado a los cuadros eléctricos.
Montaje de las puertas de servicio metálicas en los gabinetes del panel eléctrico utilizando sujetadores o accesorios de montaje adecuados, asegurando una alineación y estabilidad adecuadas.
</t>
  </si>
  <si>
    <t>MSD3-01 1200 x 2200 puerta batiente doble</t>
  </si>
  <si>
    <t>un.</t>
  </si>
  <si>
    <t>MSD3-02 1500 x 2200 puerta batiente doble</t>
  </si>
  <si>
    <t>Suministro y entrega de paneles MDF espesor mín. 12 mm con acabado de madera adecuado para usar como superficie superior en el parapeto de paneles de yeso.
Preparación de la superficie de la pared del parapeto de paneles de yeso para garantizar una adhesión y planitud adecuadas para la instalación de la parte superior de MDF.
Corte y colocación de paneles de MDF con acabado de madera para que coincidan con las dimensiones y contornos del parapeto de paneles de yeso.
Fijación de paneles de MDF a la superficie superior del parapeto de paneles de yeso utilizando adhesivo o sujetadores adecuados.
Sellado y acabado de juntas y cantos para conseguir un aspecto liso y uniforme también en juntas con muro cortina de vidrio.</t>
  </si>
  <si>
    <t>LOTE 3</t>
  </si>
  <si>
    <t>New partitions  /Sitio5: Adecuación del Piso 5</t>
  </si>
  <si>
    <t>Paneles de yeso</t>
  </si>
  <si>
    <t>Paneles de yeso estándar</t>
  </si>
  <si>
    <t>1.1.1</t>
  </si>
  <si>
    <t>Instalación de Nuevos Paneles de Yeso H=3.5m (Placas de 2.9m, Estructura de 3.5m). Código: DW</t>
  </si>
  <si>
    <t>1.1.2</t>
  </si>
  <si>
    <t>Instalación de Nuevos Paneles de Yeso Drywall a una cara H=3,5m (placas de 2,6m, estructura de 3,5m). Código: DW1</t>
  </si>
  <si>
    <t>1.1.3</t>
  </si>
  <si>
    <t>Instalación de nuevo parapeto de placas de yeso H=1,1 m, debajo de la ventana divisoria de vidrio. DWP1</t>
  </si>
  <si>
    <t>1.1.4</t>
  </si>
  <si>
    <t>Instalación de Nuevos Paneles de Yeso a una cara H=1,1m, junto al muro cortina. El precio incluye película oscura para ventanas en la parte posterior de la pared.</t>
  </si>
  <si>
    <t>1.1.5</t>
  </si>
  <si>
    <t>Instalación de plafones de paneles de yeso H=1,35, sobre mampara de vidrio.</t>
  </si>
  <si>
    <t xml:space="preserve">Los elementos anteriores abarcan la instalación de nuevos paneles de yeso. El proceso implica la construcción de tabiques utilizando materiales de paneles de yeso para crear espacios definidos de acuerdo con el plano de planta revisado.
Las actividades y componentes clave incluyen:
Adquirir láminas de paneles de yeso de alta calidad, componentes de marco, sujetadores y cualquier material adicional necesario para la construcción de nuevos tabiques según las especificaciones técnicas.
  Montaje de la estructura de marco para los nuevos paneles de yeso, asegurando la alineación adecuada y la integridad estructural, con el uso de montantes metálicos según las Especificaciones Técnicas.
Fijar las láminas de paneles de yeso a la estructura del armazón, asegurándolas en su lugar con los sujetadores adecuados. Garantizando un ajuste perfecto y al ras entre láminas adyacentes.
Aplicar cinta para juntas y compuesto para juntas (barro) a las uniones y juntas entre láminas de paneles de yeso, creando una superficie lisa y continua para el acabado.
Lijar la superficie del panel de yeso para lograr una textura uniforme y lisa, preparándola para la aplicación de pintura u otros acabados.
Aplicar una capa de imprimación seguida de pintura u otros acabados según lo especificado en los requisitos del proyecto. Garantizar una apariencia visualmente cohesiva que se alinee con el diseño general.
Consulte los detalles del dibujo para conocer otros detalles.
</t>
  </si>
  <si>
    <t>Instalación de Paneles de Yeso Resistentes a la Humedad H=3,5m (placas de 2,9m, estructura de 3,5m).</t>
  </si>
  <si>
    <t>Instalación de paneles de yeso de una cara resistentes a la humedad H=3,5 m (placas de 2,6 m, estructura de 3,5 m).</t>
  </si>
  <si>
    <t>Instalación de paneles de yeso resistentes a la humedad H = 3,5 m. Código: MRDW3, incluye pared mineral para rendimiento acústico y panel de yeso acústico en el otro lado</t>
  </si>
  <si>
    <t>Instalación de placa de yeso resistente a la humedad a una cara Parapeto de paneles de yeso H=1,5m. junto al muro cortina. Precio que incluye película oscura en el vidrio y perfil en L de aluminio en la unión de azulejos con vidrio y perfiles de pared cortina.</t>
  </si>
  <si>
    <t xml:space="preserve">Paneles de yeso insonorizados RGW STC49 </t>
  </si>
  <si>
    <t xml:space="preserve">Instalación de paneles de yeso insonorizados RGW STC49 H=3.5  m. ADW </t>
  </si>
  <si>
    <t xml:space="preserve">Este rubro engloba la instalación de paneles de yeso insonorizados, con el objetivo de mejorar el rendimiento acústico y minimizar la transmisión de sonido entre espacios designados. El proceso de instalación implica el uso de materiales de paneles de yeso especializados y la creación de una barrera que amortigua eficazmente la transmisión del sonido.
Las actividades y componentes clave incluyen:
  Adquirir láminas de yeso de alta calidad diseñadas específicamente para aislamiento acústico, según los requisitos de Especificaciones Técnicas y el detalle de los planos de diseño.
Obtención de materiales adicionales, incluidos canales resilientes, materiales aislantes y selladores acústicos, necesarios para un rendimiento óptimo de insonorización.
Levantar la estructura de marco utilizando un canal asegurando la colocación precisa de los elementos de marco para soportar las láminas de paneles de yeso insonorizadas. Colocar las láminas de paneles de yeso insonorizadas en la estructura del armazón, asegurando un ajuste perfecto y una instalación segura. Emplear selladores acústicos para sellar espacios o juntas, mejorando la eficacia general de la insonorización. Instalar aislamiento que absorba el sonido dentro de la cavidad creada por la estructura del marco para mejorar aún más el rendimiento acústico. Preparar la superficie para los toques finales, asegurando una apariencia suave y visualmente atractiva. Aplicar una capa de imprimación seguida de pintura u otros acabados según lo especificado en los requisitos del proyecto. Garantizar una apariencia visualmente cohesiva que se alinee con el diseño general.
Realizar pruebas exhaustivas para evaluar la eficacia de insonorización del sistema de paneles de yeso instalado. Realizar los ajustes necesarios para garantizar un rendimiento acústico óptimo.
El contratista debe proporcionar planos de taller basados en las instrucciones del fabricante y la hoja de datos técnicos.
</t>
  </si>
  <si>
    <t>Instalación de plafones de Drywall insonorizado RGW STC49 H=1,35, sobre mampara de vidrio y sistema de pared abatible. ADW-S</t>
  </si>
  <si>
    <t>Instalación de plafones de paneles de yeso insonorizados que se extienden desde la losa superior hasta la parte superior de la mampara de vidrio, según planos y especificaciones arquitectónicas.
Suministro e instalación de canales resilientes o clips de aislamiento acústico sobre el forjado existente para minimizar la transmisión del sonido.
Colocación de materiales absorbentes del sonido, como aislamiento de lana mineral, dentro de la cavidad de los plafones para mejorar el rendimiento acústico.
Instalación de paneles de yeso en los canales elásticos o clips de aislamiento acústico para formar los plafones, asegurando una alineación adecuada y una fijación segura.
Sellado de juntas, bordes y penetraciones con selladores o cintas acústicas para evitar fugas de sonido.
Aplicación de una capa de imprimación y dos manos de pintura sobre los plafones a juego con el acabado de las paredes, incluyendo cualquier preparación necesaria como lijado y relleno de imperfecciones hasta el nivel del falso techo.</t>
  </si>
  <si>
    <t>Instalación de paneles de yeso resistentes al fuego con certificación UL Diseño U419 de 2 horas FRDW H=3,5 m. FRDW</t>
  </si>
  <si>
    <t>Este artículo describe el suministro y la instalación de paneles de yeso resistentes al fuego con certificación UL de 2 horas para crear una barrera resistente al fuego en áreas designadas.
Este elemento del BoQ incluye la adquisición e instalación de paneles de yeso con clasificación ignífuga de 2 horas con certificación UL en áreas donde la resistencia al fuego es una consideración crítica.
Proporcione paneles de yeso resistentes al fuego con certificación UL y una clasificación de resistencia al fuego de al menos 2 horas.
El panel de yeso deberá tener un núcleo de yeso y una cara de papel que cumpla con las especificaciones de UL para resistencia al fuego. El espesor del panel de yeso resistente al fuego deberá estar de acuerdo con las Especificaciones Técnicas del proyecto.
Instale miembros estructurales compatibles con el panel de yeso resistente al fuego, asegurando un soporte y fijación adecuados. Los materiales de la estructura deberán cumplir con los estándares industriales y códigos de construcción pertinentes para construcciones resistentes al fuego.
Monte la estructura de armazón de forma segura, siguiendo los planos de taller aprobados y garantizando el cumplimiento de las normas de seguridad contra incendios. Fije el panel de yeso resistente al fuego con certificación UL a los miembros de la estructura, asegurando un ajuste perfecto y una fijación segura. Selle juntas, bordes y penetraciones con sellador resistente al fuego para mantener la integridad de la barrera resistente al fuego.
Termine las superficies de paneles de yeso resistentes al fuego con compuesto para juntas, cinta y esquineros para lograr una apariencia suave y visualmente atractiva. Prepare las superficies para pintura u otros tratamientos de acabado según lo especificado en los requisitos del proyecto.
Aplicar una capa de imprimación seguida de pintura u otros acabados según lo especificado en los requisitos del proyecto. Garantizar una apariencia visualmente cohesiva que se alinee con el diseño general.</t>
  </si>
  <si>
    <t>FRD5-1 : Puerta doble 2100x2200 mm</t>
  </si>
  <si>
    <t>FRD5-2 : Soltera 1100x2200 mm</t>
  </si>
  <si>
    <t>Alcance del trabajo:
Adquisición y suministro de puertas de acero con recubrimiento en polvo y barras de empuje, fabricadas según especificaciones resistentes al fuego durante 2 horas.
Fabricación de láminas de acero para revestimiento de puertas, de espesor mínimo 1,6 mm, con capa de poliuretano para resistencia al fuego. Fabricación y suministro de marcos de acero para cada puerta, diseñados según las especificaciones y planos proporcionados. Suministro de todas las fijaciones, accesorios, anclajes y materiales de soldadura necesarios para una instalación segura.
Instalación de puertas y marcos de acero según instrucciones del fabricante y planos aprobados. Montaje de barras de empuje, cierrapuertas y otros herrajes para garantizar un funcionamiento suave y el cumplimiento de las normas de seguridad.
Pintura de puertas y marcos al color y acabado requerido, asegurando durabilidad y atractivo estético. Pruebas y certificación de puertas cortafuegos para garantizar el cumplimiento de las normas y especificaciones pertinentes. Planos de taller y certificados que se presentarán a la OIM para su aprobación previa.</t>
  </si>
  <si>
    <t>Instalación de Mamparas de Vidrio con Vidrio Laminado GP4</t>
  </si>
  <si>
    <t xml:space="preserve">W05-A01 2900x2150 mm </t>
  </si>
  <si>
    <t xml:space="preserve">W05-A02  5050x2150 mm </t>
  </si>
  <si>
    <t xml:space="preserve">W05-A03  4350x2150 mm  </t>
  </si>
  <si>
    <t xml:space="preserve">W05-A04  2450x2150 mm </t>
  </si>
  <si>
    <t>W05-A05  4650x1050 mm sill 1.1 m + door 1100x2150</t>
  </si>
  <si>
    <t>W05-A06  1600x1050 mm sill 1.1 m</t>
  </si>
  <si>
    <t>W05-A07 door  1100x2150 mm</t>
  </si>
  <si>
    <t>W05-A08 door  950x2150 mm</t>
  </si>
  <si>
    <t>`Inspección y evaluación de puertas de madera previamente desmanteladas del 3er Piso en busca de daños, defectos o componentes faltantes.
Reparación, renovación o reemplazo de cualquier pieza dañada o faltante de las puertas de madera desmanteladas, incluidos marcos, bisagras, manijas, cerraduras y herrajes, según sea necesario.
Reinstalación de las puertas de madera previamente desmontadas en sus nuevas ubicaciones según planos y especificaciones arquitectónicas.
Ajuste de los marcos y aberturas de las puertas para acomodar las puertas de madera reinstaladas, asegurando un ajuste y alineación adecuados.
Instalación de manijas de puertas, cerraduras y otros herrajes, incluidos los ajustes necesarios para su correcto funcionamiento.
Pruebas de puertas de madera instaladas para garantizar su correcto funcionamiento, incluidos los mecanismos de apertura, cierre y bloqueo.</t>
  </si>
  <si>
    <t>7.1.1</t>
  </si>
  <si>
    <t>7.1.2</t>
  </si>
  <si>
    <t>Suministro y entrega de paneles de MDF de 19 mm de espesor con acabado de madera aptos para su uso como superficie superior en el parapeto de paneles de yeso.
Preparación de la superficie de la pared del parapeto de paneles de yeso para garantizar una adhesión y planitud adecuadas para la instalación de la parte superior de MDF.
Corte y colocación de paneles de MDF con acabado de madera para que coincidan con las dimensiones y contornos del parapeto de paneles de yeso.
Fijación de paneles de MDF a la superficie superior del parapeto de paneles de yeso utilizando adhesivo o sujetadores adecuados.
Sellado y acabado de juntas y cantos para conseguir un aspecto liso y uniforme también en juntas con muro cortina de vidrio.
Instalación de perfil de aluminio en unión con dywall.</t>
  </si>
  <si>
    <t>LOTE 4</t>
  </si>
  <si>
    <t>New partitions  /Sitio6: Adecuación del Piso 6</t>
  </si>
  <si>
    <t>Instalación de nuevos paneles de yeso de placas de yeso H=3,5 m (H=2,7 m placas, H=3,5 m estructura)</t>
  </si>
  <si>
    <t xml:space="preserve">Instalación de Nuevos Paneles de Yeso a una cara H=1,1m, junto al muro cortina. El precio incluye película oscura para ventanas en la parte posterior de la pared. </t>
  </si>
  <si>
    <t>Los elementos anteriores abarcan la instalación de nuevos paneles de yeso. El proceso implica la construcción de tabiques utilizando materiales de paneles de yeso para crear espacios definidos de acuerdo con el plano de planta revisado.
Las actividades y componentes clave incluyen:
Adquirir láminas de paneles de yeso de alta calidad, componentes de marco, sujetadores y cualquier material adicional necesario para la construcción de nuevos tabiques según las especificaciones técnicas.
  Montaje de la estructura de marco para los nuevos paneles de yeso, asegurando la alineación adecuada y la integridad estructural, con el uso de montantes metálicos según las Especificaciones Técnicas.
Fijar las láminas de paneles de yeso a la estructura del armazón, asegurándolas en su lugar con los sujetadores adecuados. Garantizando un ajuste perfecto y al ras entre láminas adyacentes.
Aplicar cinta para juntas y compuesto para juntas (barro) a las uniones y juntas entre láminas de paneles de yeso, creando una superficie lisa y continua para el acabado.
Lijar la superficie del panel de yeso para lograr una textura uniforme y lisa, preparándola para la aplicación de pintura u otros acabados.
Aplicar una capa de imprimación seguida de pintura u otros acabados según lo especificado en los requisitos del proyecto. Garantizar una apariencia visualmente cohesiva que se alinee con el diseño general.
Consulte los detalles del dibujo para conocer otros detalles.</t>
  </si>
  <si>
    <t>1.4.1</t>
  </si>
  <si>
    <t>Instalación de paneles de yeso resistentes al fuego con certificación UL de 2 horas FRDW H=3,5 m</t>
  </si>
  <si>
    <t>Instalación de paneles de yeso resistentes al fuego con certificación UL de 2 horas adheridos al panel de yeso existente FRDWI H=3,5 m (eventual ampliación de las aberturas existentes para incorporar puertas FR)</t>
  </si>
  <si>
    <t>Este artículo describe el suministro y la instalación de paneles de yeso resistentes al fuego con certificación UL (Underwriters Laboratories) de 2 horas para crear una barrera resistente al fuego en áreas designadas.
Este elemento del BoQ incluye la adquisición e instalación de paneles de yeso con clasificación ignífuga de 1 hora con certificación UL en áreas donde la resistencia al fuego es una consideración crítica.
Proporcione paneles de yeso resistentes al fuego con certificación UL y una clasificación de resistencia al fuego de al menos 1 hora.
El panel de yeso deberá tener un núcleo de yeso y una cara de papel que cumpla con las especificaciones de UL para resistencia al fuego. El espesor del panel de yeso resistente al fuego deberá estar de acuerdo con las Especificaciones Técnicas del proyecto.
Instale miembros estructurales compatibles con el panel de yeso resistente al fuego, asegurando un soporte y fijación adecuados. Los materiales de la estructura deberán cumplir con los estándares industriales y códigos de construcción pertinentes para construcciones resistentes al fuego.
Monte la estructura de armazón de forma segura, siguiendo los planos de taller aprobados y garantizando el cumplimiento de las normas de seguridad contra incendios. Fije el panel de yeso resistente al fuego con certificación UL a los miembros de la estructura, asegurando un ajuste perfecto y una fijación segura. Selle juntas, bordes y penetraciones con sellador resistente al fuego para mantener la integridad de la barrera resistente al fuego.
Termine las superficies de paneles de yeso resistentes al fuego con compuesto para juntas, cinta y esquineros para lograr una apariencia suave y visualmente atractiva. Prepare las superficies para pintura u otros tratamientos de acabado según lo especificado en los requisitos del proyecto.
Aplicar una capa de imprimación seguida de pintura u otros acabados según lo especificado en los requisitos del proyecto. Garantizar una apariencia visualmente cohesiva que se alinee con el diseño general.</t>
  </si>
  <si>
    <t>Suministro e Instalación de Puerta de Acero Cortafuego EI120</t>
  </si>
  <si>
    <t>FRD6:1100x2200 mm</t>
  </si>
  <si>
    <t>Alcance del trabajo:
Adquisición y suministro de puertas de acero con recubrimiento en polvo y barra de empuje, fabricadas según especificaciones de resistencia al fuego de 2 horas.
Fabricación de láminas de acero para revestimiento de puertas, de 1,6 mm de espesor, con capa de poliuretano para resistencia al fuego. Fabricación y suministro de marcos de acero para cada puerta, diseñados según las especificaciones y planos proporcionados. Suministro de todas las fijaciones, accesorios, anclajes y materiales de soldadura necesarios para una instalación segura.
Instalación de puertas y marcos de acero según instrucciones del fabricante y planos aprobados. Montaje de barras de empuje y otros herrajes para garantizar un funcionamiento suave y el cumplimiento de las normas de seguridad.
Pintura de puertas y marcos al color y acabado requerido, asegurando durabilidad y atractivo estético. Pruebas y certificación de puertas cortafuegos para garantizar el cumplimiento de las normas y especificaciones pertinentes.</t>
  </si>
  <si>
    <t>Suministro e instalación de puerta de vidrio/aluminio DAL6-A01 900x2400mm</t>
  </si>
  <si>
    <t>Suministro e instalación de puerta de aluminio/acristalada dimensions 900x2400mm, incluyendo marcos de puerta, bisagras, manijas, cerraduras y otros herrajes necesarios.
Ajuste y alineación de puertas para garantizar un funcionamiento suave y un sellado adecuado.
Vidrio flotado t=8mm con perfiles de aluminio con acabado anodizado y un espesor mínimo de 2mm. Se presentará un dibujo de taller para aprobación previa con todos los certificados de material.
Pruebas y puesta en marcha de las puertas instaladas para garantizar funcionalidad, seguridad y cumplimiento de los estándares y especificaciones relevantes.
Limpieza final del área de instalación y eliminación de cualquier residuo generado durante el proceso de instalación.</t>
  </si>
  <si>
    <t>GRAND TOTAL LOTE 1 + LOTE 2 + LOTE 3 + LOTE 4</t>
  </si>
  <si>
    <t>Finishes  Ubicación/Sitio1: Adecuación del Piso 1</t>
  </si>
  <si>
    <t>Pintar</t>
  </si>
  <si>
    <t>Pintura de paredes existentes</t>
  </si>
  <si>
    <t>Área A</t>
  </si>
  <si>
    <t>Área B</t>
  </si>
  <si>
    <r>
      <rPr>
        <b/>
        <sz val="12"/>
        <rFont val="Calibri"/>
        <family val="2"/>
        <scheme val="minor"/>
      </rPr>
      <t>Alcance del Trabajo:</t>
    </r>
    <r>
      <rPr>
        <sz val="12"/>
        <rFont val="Calibri"/>
        <family val="2"/>
        <scheme val="minor"/>
      </rPr>
      <t xml:space="preserve"> Preparación de superficie de paredes y columnas existentes, incluyendo limpieza, parcheo y lijado según sea necesario. Aplicación de un imprimador adecuado para promover la adherencia y uniformidad del acabado. Parcheo y reparación de cualquier imperfección relacionada con instalaciones electro-mecánicas, como cableado, enchufes u otros accesorios, asegurando un sustrato liso y uniforme para la pintura. Aplicación de pintura interior de alta calidad para lograr el color y acabado especificados. Protección de superficies y áreas adyacentes para prevenir salpicaduras y daños. Retoques y correcciones según sea necesario para un acabado impecable.
</t>
    </r>
    <r>
      <rPr>
        <b/>
        <sz val="12"/>
        <rFont val="Calibri"/>
        <family val="2"/>
        <scheme val="minor"/>
      </rPr>
      <t>Material:</t>
    </r>
    <r>
      <rPr>
        <sz val="12"/>
        <rFont val="Calibri"/>
        <family val="2"/>
        <scheme val="minor"/>
      </rPr>
      <t xml:space="preserve"> Proporcionar pintura de calidad premium, con bajo contenido de COV (Compuestos Orgánicos Volátiles), adecuada para los requisitos de superficie y acabado especificados. Suministrar y aplicar un imprimador compatible para preparar las paredes para la pintura. Compuesto de parcheo de alta calidad para reparar cualquier imperfección relacionada con instalaciones electro-mecánicas. Utilizar materiales apropiados para proteger superficies adyacentes y pisos.
</t>
    </r>
    <r>
      <rPr>
        <b/>
        <sz val="12"/>
        <rFont val="Calibri"/>
        <family val="2"/>
        <scheme val="minor"/>
      </rPr>
      <t>Procedimiento:</t>
    </r>
    <r>
      <rPr>
        <sz val="12"/>
        <rFont val="Calibri"/>
        <family val="2"/>
        <scheme val="minor"/>
      </rPr>
      <t xml:space="preserve">Limpiar todas las paredes para eliminar suciedad, polvo y contaminantes. Parchear y reparar cualquier grieta, agujero o imperfección visible en las paredes existentes, incluyendo aquellas relacionadas con instalaciones electro-mecánicas. Lijar las superficies para asegurar un sustrato liso y uniforme para la pintura. Limpiar las paredes para eliminar cualquier polvo o residuo restante.
Aplicar una capa uniforme de imprimador a las paredes preparadas, permitiendo suficiente tiempo de secado según las recomendaciones del fabricante. Aplicar las 3 capas de pintura interior para lograr el color y acabado deseados. Asegurar una cobertura uniforme y un color consistente en todas las superficies pintadas. Permitir un tiempo de secado adecuado entre capas. La aplicación de pintura debe cumplir con los estándares de la industria y las especificaciones del proyecto. Eliminar cualquier salpicadura de pintura o exceso de pulverización de superficies adyacentes. Dejar el área de trabajo limpia y libre de escombros al finalizar.
</t>
    </r>
  </si>
  <si>
    <t>Reparación e impermeabilización de enlucidos y pintura de los parapetos h=0,25m</t>
  </si>
  <si>
    <t>1.2.1</t>
  </si>
  <si>
    <t>1.2.2</t>
  </si>
  <si>
    <t>Trabajos de preparación: limpieza del área y protección de las superficies circundantes contra daños, eliminación del rodapié de PVC existente.
Eliminación de yeso y pintura deteriorados: Eliminación de yeso y pintura deteriorados de las paredes, garantizando un soporte limpio:
Preparación de la superficie: raspado, limpieza e imprimación de las superficies de las paredes expuestas para enlucido impermeable.
Aplicación de Yeso Impermeable: Aplicar yeso impermeable a las paredes preparadas, asegurando una cobertura uniforme y una impermeabilización adecuada.
Acabado: Alisado y nivelado de la superficie del yeso para una apariencia uniforme:
Imprimación: Aplicar una capa de imprimación adecuada a la superficie enlucida impermeable antes de pintar.
Pintura: Pintar la superficie enlucida con pintura impermeable, proporcionando un acabado duradero y estéticamente agradable.
Limpieza y Disposición: Retiro y disposición de escombros y materiales de desecho generados durante el proceso.</t>
  </si>
  <si>
    <t>Instalación de Zócalo de Poliuretano Flexible (para que coincida con el zócalo existente)</t>
  </si>
  <si>
    <t xml:space="preserve">Alcance del trabajo:
Suministrar e instalar rodapiés de Poliuretano Flexible que coincidan con los rodapiés existentes en las áreas designadas según las especificaciones del proyecto y los planos de diseño. Garantice una integración perfecta con el zócalo existente, tanto en términos de estilo como de color. Corte e inglete rodapiés en esquinas y uniones para obtener un acabado preciso y profesional.
Materiales:
Zócalo de PVC: Proporcionar zócalo de Poliuretano Flexible que coincida con el perfil, las dimensiones y el color del zócalo existente. Utilice un adhesivo adecuado para la instalación de rodapiés de PVC, asegurando una unión segura a la superficie del panel de yeso. Incluya todos los elementos de acabado necesarios, como tapas de extremo o piezas de esquina, para garantizar una apariencia pulida.
Instalación:
Mida y marque la altura correcta del nuevo rodapié de Poliuretano Flexible, alineándolo con el rodapié existente. Corte el rodapié a la longitud requerida, teniendo en cuenta las esquinas o uniones. Aplique adhesivo en la parte posterior del rodapié y fíjelo firmemente al panel de yeso. Asegure la alineación adecuada y nivele el zócalo, realizando los ajustes necesarios. Corte esquinas a inglete e instale elementos de acabado para obtener un resultado cohesivo y estéticamente agradable.
Deje el área de trabajo limpia y organizada al finalizar.
</t>
  </si>
  <si>
    <t>Porcelain tiles para baño - paredes y suelos</t>
  </si>
  <si>
    <t>Suministro y entrega de azulejos cerámicos o de porcelana adecuados para las paredes del baño con una altura h= 1,5 m y para los suelos, que cumplan con las especificaciones requeridas de resistencia al agua, durabilidad y estética.
Evaluación y preparación de las paredes y suelos del baño para asegurar que estén limpios, lisos y libres de cualquier residuo, grasa o humedad.
Selección de tamaños, colores, patrones y acabados de azulejos apropiados para lograr el diseño y la funcionalidad deseados para el espacio del baño.
Corte y ajuste de los azulejos a las dimensiones requeridas para la instalación en paredes y suelos, incluyendo alrededor de accesorios, esquinas y obstáculos.
Aplicación de adhesivo o mortero para azulejos en las paredes y suelos preparados y posterior colocación de los azulejos, asegurando una alineación, espaciado y adherencia adecuados.
Lechada de las juntas de los azulejos con un material de lechada adecuado, asegurando uniformidad en color, textura y cobertura.
Limpieza y acabado de los azulejos instalados para eliminar cualquier exceso de adhesivo, lechada o residuo, y una inspección final para garantizar la calidad.
Sellado de las juntas de lechada y bordes de azulejos con un sellador adecuado para mejorar la resistencia al agua y prevenir la infiltración de humedad. Instalación de perfiles de aluminio adecuados en los bordes de los azulejos según las instrucciones de la OIM.</t>
  </si>
  <si>
    <t>Instalación de pisos de caucho en áreas de juegos infantiles</t>
  </si>
  <si>
    <r>
      <rPr>
        <b/>
        <sz val="12"/>
        <rFont val="Calibri"/>
        <family val="2"/>
        <scheme val="minor"/>
      </rPr>
      <t>Especificación de materiales, suministro y entrega:</t>
    </r>
    <r>
      <rPr>
        <sz val="12"/>
        <rFont val="Calibri"/>
        <family val="2"/>
        <scheme val="minor"/>
      </rPr>
      <t xml:space="preserve">
Suelos de caucho de alta calidad aptos para zonas de juego infantil
Espesor: mínimo 20 mm
Color: para ser aprobado por la OIM
Textura de la superficie: textura de superficie antideslizante para mayor seguridad.
Cumplimiento: Normas de seguridad ASTM F1292 y ASTM F1951
</t>
    </r>
    <r>
      <rPr>
        <b/>
        <sz val="12"/>
        <rFont val="Calibri"/>
        <family val="2"/>
        <scheme val="minor"/>
      </rPr>
      <t>Instalación:</t>
    </r>
    <r>
      <rPr>
        <sz val="12"/>
        <rFont val="Calibri"/>
        <family val="2"/>
        <scheme val="minor"/>
      </rPr>
      <t xml:space="preserve">
Preparación de la superficie, incluida la limpieza y nivelación del sustrato.
Instalación de cualquier contrapiso o capa base necesaria.
Instalación de suelos de caucho según indicaciones del fabricante.
Cortar y colocar pisos de goma alrededor de obstáculos y equipos de juego según sea necesario.
Instalación de tiras de transición o bordes para proporcionar un acabado perimetral limpio y seguro.
Asegurar los bordes con adhesivos o sujetadores mecánicos.</t>
    </r>
  </si>
  <si>
    <t>Instalación de Extintores existentes con suministro de Perchas nuevas</t>
  </si>
  <si>
    <t>Suministro y entrega de extintores según especificaciones de proyecto y normas de seguridad.
Instalación de extintores en lugares designados en toda la instalación de acuerdo con los planes y normas de seguridad contra incendios.
Montaje de extintores tanto en paneles de yeso como en paredes de concreto utilizando colgadores y sujetadores adecuados.
Selección e instalación de colgadores adecuados para superficies de paneles de yeso y paredes de hormigón para garantizar una fijación segura de los extintores.
Coordinación con funcionarios de seguridad contra incendios para garantizar el cumplimiento de los códigos y normas pertinentes.</t>
  </si>
  <si>
    <t>Horizontal - Cambiador de bebé plegable y de superficie</t>
  </si>
  <si>
    <r>
      <rPr>
        <b/>
        <sz val="12"/>
        <rFont val="Calibri"/>
        <family val="2"/>
        <scheme val="minor"/>
      </rPr>
      <t>Especificaciones del equipo:</t>
    </r>
    <r>
      <rPr>
        <sz val="12"/>
        <rFont val="Calibri"/>
        <family val="2"/>
        <scheme val="minor"/>
      </rPr>
      <t xml:space="preserve">
Estación para cambiar pañales plegable con correas de seguridad.
Material: polietileno
Color: según aprobación del representante del cliente
Dimensiones: 919 mm de ancho x 565 mm de alto, Profundidad: 105 mm cerrado, 580-600 mm abierto
Capacidad de peso: mínimo 5 libras
</t>
    </r>
    <r>
      <rPr>
        <b/>
        <sz val="12"/>
        <rFont val="Calibri"/>
        <family val="2"/>
        <scheme val="minor"/>
      </rPr>
      <t>Instalación:</t>
    </r>
    <r>
      <rPr>
        <sz val="12"/>
        <rFont val="Calibri"/>
        <family val="2"/>
        <scheme val="minor"/>
      </rPr>
      <t xml:space="preserve"> Hardware de montaje según recomendación del fabricante. Instalación de la estación para cambiar pañales en áreas designadas con anclaje adecuado a paredes de yeso con refuerzo adicional, todo de acuerdo con las pautas del fabricante.</t>
    </r>
  </si>
  <si>
    <t>Instalación de protectores de esquinas en forma de L de acero inoxidable (Inox)</t>
  </si>
  <si>
    <t>Especificación de material:
Protectores de esquina en forma de L de acero inoxidable 304 (Inox)
Dimensiones: 38 mm por 38 mm (ancho x alto), Largo: 1 metro, acero calibre 18
Instalación:
Fijación de protectores de esquina en forma de L a las esquinas de las paredes mediante tornillos o adhesivo adecuados.
Asegure la alineación y colocación adecuadas de los protectores de esquinas para cubrir y proteger las esquinas de manera efectiva.
Utilice sujetadores y métodos de instalación adecuados para asegurar firmemente los protectores de esquinas.</t>
  </si>
  <si>
    <t>Instalación de guardasillas</t>
  </si>
  <si>
    <t>Especificaciones de materiales:
Moldura para guardasillas fabricada en MDF, diseñada para proteger las paredes de los daños causados por sillas y otros muebles. Incluye molduras y conectores necesarios.
El acabado del guardasillas será aprobado por el representante de la OIM
Dimensiones: 1/2" de espesor y 2,5" de altura
Asegúrese de preparar adecuadamente la superficie de la pared y utilice sujetadores adecuados para una fijación segura.</t>
  </si>
  <si>
    <t xml:space="preserve">
Suministro e instalación de soporte para TV montado en el techo H=1500 mm.</t>
  </si>
  <si>
    <t xml:space="preserve">
Soporte para TV montado en el techo adecuado para televisores de tamaño de 32 a 60 pulgadas, con características de inclinación y giro ajustables.
Especificaciones:
Material: acero o aluminio
Acabado: recubierto de polvo para durabilidad
Capacidad de peso: 35 kg
Compatibilidad VESA: 200 x 200 mm, 300 x 200 mm, 400 x 200 mm, 400 x 300 mm, 400 x 400 mm, 600 x 200 mm, 600 x 300 mm o 600 x 400 mm
Características ajustables: ajuste de ángulo de inclinación hasta -12.5 a 12.5 grados, ajuste de ángulo de giro hasta -15 a 15 grados, altura y capacidad de extensión de 1500 a 1900 mm.</t>
  </si>
  <si>
    <t xml:space="preserve">Rehabilitación de Patio Demolido con Azulejos Nuevos (similar al existente en los alrededores) </t>
  </si>
  <si>
    <t>Se trata de la rehabilitación integral de un patio previamente demolido, sustituyendo la superficie existente por nuevas baldosas a juego con las existentes.
Las actividades clave incluyen:
  Preparando el terreno para la instalación de las nuevas losas de hormigón.
  Nivelación y compactación de la subbase para establecer una base estable para las nuevas losas.
  Colocar las nuevas baldosas siguiendo el patrón deseado, asegurando precisión, alineación y un acabado estéticamente agradable.
Rellenar las juntas entre losas de concreto con materiales adecuados e instalar los bordes apropiados para definir el área del patio y brindar una apariencia limpia y acabada.
  Es imperativo que las nuevas losas coincidan estrechamente con la apariencia de las losas del pavimento existentes para garantizar una conexión perfecta entre las superficies antiguas y nuevas y estará sujeto a la aprobación previa del Cliente.
Este alcance integral cubre toda la mano de obra, materiales y equipos necesarios para la reinstalación exitosa del patio demolido con nuevos azulejos, creando un espacio exterior funcional y visualmente atractivo. El énfasis en una conexión perfecta garantiza que las nuevas losas se parezcan mucho a las losas del pavimento existentes para lograr una continuidad estética.</t>
  </si>
  <si>
    <t>Finishes /Sitio2: Adecuación del Piso 3</t>
  </si>
  <si>
    <t>Pintura de paredes y columnas existentes.</t>
  </si>
  <si>
    <t>Piso</t>
  </si>
  <si>
    <t>Piso laminado</t>
  </si>
  <si>
    <t>2.1.1</t>
  </si>
  <si>
    <t>Suministro e instalación de suelos laminados de 12 mm de espesor para uso comercial con una clasificación de Abrasión Clase (AC) AC4, con un acabado texturizado antideslizante, resistencia a la humedad, clasificación de fuego Clase A o 1, y certificaciones ambientales (FSC o VOC-s).
Preparación de la superficie del subsuelo para garantizar una planitud y suavidad adecuadas, incluyendo nivelación, parcheo y imprimación según sea necesario.
Instalación de material de subcapa, como espuma o barrera de vapor, para proporcionar amortiguación, protección contra la humedad y aislamiento acústico debajo del suelo laminado.
Corte y ajuste de paneles de suelo laminado a las dimensiones exactas del área de la oficina, asegurando una instalación precisa y sin fisuras.
Fijación de los paneles de suelo laminado en su lugar utilizando adhesivo apropiado, sistema de bloqueo por clic o método de instalación flotante, garantizando uniones ajustadas y una apariencia uniforme.
Instalación de tiras de transición o molduras en puertas, bordes y transiciones a superficies de suelo adyacentes para un aspecto acabado y una transición suave.</t>
  </si>
  <si>
    <t>2.1.2</t>
  </si>
  <si>
    <t>Perfiles finales de aluminio (unión con particiones de vidrio).</t>
  </si>
  <si>
    <t>2.1.3</t>
  </si>
  <si>
    <t>Losetas de moqueta.</t>
  </si>
  <si>
    <t>2.2.1</t>
  </si>
  <si>
    <t xml:space="preserve">Suministro y entrega de losetas de moqueta fabricadas con fibras duraderas y resistentes a las manchas, con una altura de pelo bajo máxima de 1/2", con una densidad mínima de 500 gr/m2, y un material de respaldo resistente para garantizar estabilidad. El material también debe estar certificado ambientalmente para VOC-s y sostenibilidad. El color y el patrón serán decididos por el representante del cliente.
Preparación de la superficie del subsuelo para garantizar una planitud, suavidad y limpieza adecuadas, incluida la eliminación de los materiales de revestimiento existentes si es necesario.
Diseño y planificación del patrón de instalación de las losetas de moqueta, teniendo en cuenta factores como las dimensiones de la habitación y las preferencias estéticas.
Corte y ajuste de las losetas de moqueta a las dimensiones exactas del área del suelo, asegurando una alineación precisa y continuidad del patrón.
Aplicación de adhesivo apropiado o cinta adhesiva de doble cara en la superficie del subsuelo, siguiendo las instrucciones del fabricante y asegurando una cobertura adecuada.
Instalación de las losetas de moqueta según el diseño planificado, comenzando desde el centro de la habitación y trabajando hacia afuera, para lograr uniformidad y consistencia.
Instalación de Transición: Instalación de tiras de transición o molduras en puertas, umbrales y bordes para crear una transición suave y terminada entre las áreas con moqueta y otras superficies de suelo.
</t>
  </si>
  <si>
    <t>2.2.2</t>
  </si>
  <si>
    <t>Perfiles finales de aluminio (unidos con particiones de vidrio).</t>
  </si>
  <si>
    <t>2.2.3</t>
  </si>
  <si>
    <t xml:space="preserve">
Suministro e instalación de Zócalos Flexibles de Poliuretano, con una altura de plinto de 100 mm.</t>
  </si>
  <si>
    <t>Azulejado</t>
  </si>
  <si>
    <t>Pasillo principal - Baldosas para el suelo.</t>
  </si>
  <si>
    <t>3.1.1</t>
  </si>
  <si>
    <t>Baldosas de porcelana para el suelo.</t>
  </si>
  <si>
    <t>Suministro y entrega de baldosas de porcelana para el suelo, para que se ajusten a las baldosas del pasillo existentes en cuanto a forma y color, tamaño de 30x30 cm, acabado mate, resistente al deslizamiento según las normas ANSI, con un grosor de 10 mm, y que cumplan con todos los estándares de resistencia y durabilidad según las normas ANSI. Certificado como respetuoso con el medio ambiente de bajo VOC.
Evaluación y preparación de la superficie de las baldosas existentes para asegurar que esté limpia, nivelada y libre de baldosas sueltas o dañadas. Reparación y reemplazo de cualquier sección dañada o desigual del suelo de baldosas existente y el subsuelo (dependiendo de la sección), incluyendo el relleno de grietas, nivelación de todas las áreas y abordar cualquier problema estructural según sea necesario. Uniones con las baldosas del pasillo existentes mediante una baldosa de transición instalada entre las baldosas existentes y nuevas.
Aplicación de un agente de unión o imprimación adecuado para promover la adherencia entre la superficie de las baldosas existentes y las nuevas baldosas.
Diseño y planificación del patrón de instalación de las baldosas, asegurando una alineación y simetría adecuadas con el diseño de baldosas existente y las dimensiones de la habitación.
Corte y ajuste de las nuevas baldosas para que se ajusten a las dimensiones exactas del área del suelo, incluido el suministro e instalación de perfiles de transición de aluminio en áreas con diferentes tipos de suelo.
Aplicación de adhesivo o mortero para baldosas en la superficie de las baldosas existentes o el subsuelo y colocación posterior de las nuevas baldosas en el patrón deseado, asegurando un espaciado y alineación adecuados. Sellado de las juntas de las baldosas con un material de lechada adecuado, asegurando uniformidad y cobertura completa de la lechada.
Limpieza y acabado de las baldosas instaladas para eliminar cualquier exceso de adhesivo, lechada o escombros, y una inspección final para garantizar la calidad.
Sellado de las juntas de la lechada y los bordes de las baldosas con un sellador adecuado para proteger contra la infiltración de humedad y las manchas.</t>
  </si>
  <si>
    <t>3.1.2</t>
  </si>
  <si>
    <t>Instalación de rodapié de baldosas de porcelana.</t>
  </si>
  <si>
    <t>Suministro y entrega de baldosas de porcelana adecuadas para rodapiés, que combinen o coordinen con las baldosas del suelo utilizadas en el proyecto.
Evaluación y preparación de la superficie de la pared para asegurar que esté limpia, nivelada y libre de escombros u obstrucciones.
Corte y ajuste de las baldosas de porcelana a las dimensiones requeridas para la instalación del rodapié, asegurando una alineación adecuada con las baldosas del suelo y las esquinas de la pared.
Sellado de las juntas de la lechada y los bordes de las baldosas con un sellador adecuado para proteger contra la filtración y las manchas.</t>
  </si>
  <si>
    <t>Baldosas de porcelana para baño: paredes y suelos.</t>
  </si>
  <si>
    <t>Suministro y entrega de baldosas cerámicas o de porcelana adecuadas para paredes de baño con una altura h= 1.5 m y suelos, que cumplan con las especificaciones requeridas de resistencia al agua, durabilidad y estética.
Evaluación y preparación de las paredes y suelos del baño para asegurar que estén limpios, lisos y libres de cualquier residuo, grasa o humedad.
Selección de tamaños de baldosas, colores, patrones y acabados apropiados para lograr el diseño y la funcionalidad deseados para el espacio del baño.
Corte y ajuste de las baldosas a las dimensiones requeridas para la instalación en paredes y suelos, incluyendo alrededor de accesorios, esquinas y obstáculos.
Aplicación de adhesivo o mortero para baldosas en las paredes y suelos preparados y posterior colocación de las baldosas, asegurando una alineación, espaciado y adherencia adecuados.
Lechado de las juntas de las baldosas con un material de lechada adecuado, asegurando uniformidad en color, textura y cobertura.
Limpieza y acabado de las baldosas instaladas para eliminar cualquier exceso de adhesivo, lechada o residuos, y una inspección final para garantizar la calidad.
Sellado de las juntas de lechada y bordes de baldosas con un sellador adecuado para mejorar la resistencia al agua y prevenir la infiltración de humedad. Instalación de perfiles de aluminio adecuados en los bordes de las baldosas según las instrucciones del IOM.
El precio también debe incluir todas las subcapas (enlucido) necesarias para cubrir las nuevas tuberías debajo y el umbral de mármol para cubrir la diferencia de nivel.</t>
  </si>
  <si>
    <t>Suministro e instalación de accesorios sanitarios.</t>
  </si>
  <si>
    <t>Tazas de inodoro (WC), incluyendo la fijación al suelo y la conexión al sistema de fontanería.</t>
  </si>
  <si>
    <t>Tazas de inodoro (WC) diseñadas específicamente para accesibilidad para personas con discapacidad en baños designados accesibles. Las tazas de inodoro incluirán los accesorios y características necesarios para la accesibilidad para personas con discapacidad, como barras de agarre, brazos de apoyo, altura elevada del asiento y mecanismos de descarga fácil. 
*1 para el segundo piso.</t>
  </si>
  <si>
    <t>Lavabos completos con grifo de agua, incluyendo montaje en la pared o encimera y conexión al sistema de fontanería.</t>
  </si>
  <si>
    <t>Unidad de lavamanos diseñada específicamente para accesibilidad para personas con discapacidad, junto con un grifo de agua automático específico diseñado para accesibilidad.
El grifo de agua automático será seleccionado según los requisitos del proyecto, incluyendo especificaciones para operación sin manos, tecnología de sensor y características de ahorro de agua. 
*1 para el segundo piso.</t>
  </si>
  <si>
    <t>Espejos sobre cada lavamanos, con dimensiones de 60x90 cm, montados de forma segura en la pared a una altura apropiada para los usuarios. Uno para el segundo piso.</t>
  </si>
  <si>
    <t>Techo suspendido.</t>
  </si>
  <si>
    <t xml:space="preserve">Suministro e instalación de techo suspendido modular (áreas de salas de entrevistas).
</t>
  </si>
  <si>
    <t>Especificaciones técnicas de los azulejos de techo:
Material: Fibra mineral
Tamaño: 600 mm x 600 mm
Espesor: 20 mm
Color/Acabado: Blanco mate, Perfil del borde: Tegular/borde expuesto
Clasificación de fuego: Clase A
Absorción de sonido: NRC-0.70
Suministro y entrega de materiales modulares para techos suspendidos, incluyendo azulejos de techo, rieles principales, barras transversales, molduras perimetrales, cables de suspensión y cualquier otro componente necesario.
Instalación del sistema de rejilla de techo suspendido de acuerdo con las especificaciones del fabricante y las Especificaciones Técnicas del proyecto.
Alineación y nivelación de rieles principales y barras transversales para crear un diseño de rejilla uniforme.
Corte y ajuste de los azulejos de techo para adaptarse a accesorios de iluminación, rejillas de aire y otros elementos montados en el techo.
Fijación segura de los azulejos de techo al sistema de rejilla, asegurando estabilidad y uniformidad.
Integración de paneles de acceso o escotillas según sea necesario para el acceso de mantenimiento a los espacios sobre el techo.
Coordinación con otros oficios, como eléctrico y HVAC, para garantizar la compatibilidad y la instalación adecuada de los componentes del techo.
Gestión de residuos: Disposición de cualquier material de desecho, escombros o embalajes generados durante el proceso de instalación de acuerdo con las regulaciones locales.</t>
  </si>
  <si>
    <t>Instalación de techo suspendido con paneles de techo reutilizados.</t>
  </si>
  <si>
    <t>Instalar un nuevo sistema de techo suspendido utilizando una nueva estructura de soporte mientras se reutilizan los paneles de techo existentes recuperados de un techo desmantelado anterior. Asegurar la integración adecuada de los paneles reutilizados con la nueva estructura de soporte para un acabado uniforme y estéticamente agradable.
Nueva Estructura de Soporte para el Techo: Proporcionar nuevos componentes de rejilla de suspensión, incluyendo rieles principales, barras transversales y molduras perimetrales, adecuados para el diseño de techo especificado y las dimensiones de los paneles.
Paneles de Techo Reutilizados: Utilizar los paneles de techo recuperados del techo desmantelado anterior para su reinstalación.
Hardware de Suspensión: Tornillos, cables y otro hardware necesario para instalar la nueva estructura de soporte y asegurar los paneles de techo reutilizados.
Clips para Paneles de Techo: Si es necesario, proporcionar clips para paneles de techo u otros accesorios para asegurar los paneles reutilizados dentro de la nueva rejilla de suspensión.
Ajustar y alinear los paneles de techo según sea necesario para garantizar una superficie de techo suave y consistente, realizando cualquier modificación necesaria para adaptarse a variaciones en el tamaño o la forma de los paneles.</t>
  </si>
  <si>
    <t>5.2.1</t>
  </si>
  <si>
    <t>Estructura de soporte DX sin disposiciones antisísmicas especiales para áreas de menos de 13 m2.</t>
  </si>
  <si>
    <t>5.2.2</t>
  </si>
  <si>
    <t>Estructura de soporte DXL con disposiciones antisísmicas especiales para áreas de más de 13 m2.</t>
  </si>
  <si>
    <t>Reemplazo de paneles dañados del techo suspendido.
* Se utilizarán en el tercer y quinto piso.</t>
  </si>
  <si>
    <t xml:space="preserve">Este ítem implica el reemplazo de los paneles de techo suspendido existentes que han sufrido daños, contienen agujeros de instalaciones anteriores o presentan manchas antiestéticas. El proceso incluye la remoción cuidadosa de los paneles afectados y la instalación de nuevos reemplazos para restaurar la integridad visual del techo.
Las actividades clave y componentes incluyen:
Evaluar el estado de los paneles de techo suspendido para identificar áreas que estén dañadas, contengan agujeros de instalaciones anteriores o muestren manchas.
Retirar sistemáticamente los paneles dañados identificados, asegurando una disposición adecuada o reciclaje de los materiales de manera ambientalmente responsable.
Preparar el marco del techo para la instalación de los nuevos paneles, asegurando una superficie limpia y nivelada.
Adquirir paneles de techo de reemplazo de alta calidad que coincidan con el diseño, dimensiones y especificaciones existentes.
Instalar los nuevos paneles de techo en las áreas designadas, asegurando un ajuste seguro y nivelado que se alinee con los paneles circundantes.
Este alcance completo cubre toda la mano de obra, materiales y equipo requeridos para el exitoso reemplazo de los paneles de techo suspendido dañados, resultando en un techo renovado y visualmente atractivo.
</t>
  </si>
  <si>
    <t>Sofito perimetral de techo con revestimiento de drywall colgante.</t>
  </si>
  <si>
    <t>Suministro e instalación de un sofito perimetral de techo hecho de placas de drywall para formar el cierre lateral del sistema de techo suspendido modular. El sofito se fijará al techo con una caída de 1 metro.
Material: Placas de drywall de 12.5 mm de espesor, montantes de acero galvanizado para el armazón, con madera en la parte inferior para garantizar la fijación adecuada de las cortinas, todo según el detalle proporcionado en los planos.
Instalaciones: Instalar montantes metálicos a lo largo del perímetro del techo a una distancia de caída de 1 metro, espaciados según las recomendaciones del fabricante y el dibujo detallado que forma parte de la documentación técnica. Fijar las placas de drywall a los montantes metálicos utilizando tornillos para drywall, asegurando una alineación y espaciado adecuados.
Acabado (aplicando solo en el lado inferior 20 cm): Aplicar compuesto para juntas en las juntas del drywall y empotrar la cinta de juntas. Instalar esquineros de metal en las esquinas exteriores. Terminar la superficie de drywall con múltiples capas de compuesto para juntas, lijando entre capas para un acabado suave. Imprimar y pintar para el acabado final.
Acabado (aplicando al lado h=1.00m): Pintura solamente, no compuesto para juntas.</t>
  </si>
  <si>
    <r>
      <t xml:space="preserve">Instalación de techo suspendido de drywall
</t>
    </r>
    <r>
      <rPr>
        <sz val="12"/>
        <rFont val="Calibri"/>
        <family val="2"/>
        <scheme val="minor"/>
      </rPr>
      <t xml:space="preserve">*incluirá un baño accesible en el segundo piso.
</t>
    </r>
    <r>
      <rPr>
        <b/>
        <sz val="12"/>
        <rFont val="Calibri"/>
        <family val="2"/>
        <scheme val="minor"/>
      </rPr>
      <t xml:space="preserve">
</t>
    </r>
  </si>
  <si>
    <t>Proporcionar e instalar un sistema de techo de placa de yeso suspendido para cubrir las áreas designadas, como los servicios sanitarios y las áreas principales. 
Materiales:
Paneles de Placa de Yeso: Suministrar paneles de placa de yeso de yeso de 12.5mm de grosor.
Componentes del Sistema de Suspensión: Proporcionar carriles principales, travesaños cruzados y molduras perimetrales para el sistema de suspensión. Asegurarse de que los componentes sean compatibles con los requisitos de instalación especificados por el fabricante.
Hardware de Suspensión: Incluir sujetadores, cables y otros componentes necesarios para ensamblar el sistema de suspensión y asegurar los paneles de placa de yeso.
Compuesto y Cinta para Juntas: Suministrar compuesto para juntas para empalmar y terminar las juntas de la placa de yeso, asegurando una apariencia uniforme.
Paneles de Acceso al Techo: Incluir opcionalmente paneles de acceso al techo para un acceso conveniente a las instalaciones sobre el techo, si es necesario.
Instalación:
Adjuntar los paneles de placa de yeso al sistema de suspensión usando los sujetadores apropiados, asegurando que los paneles estén firmemente en su lugar y correctamente alineados.
Aplicación y Terminación del Compuesto: Aplicar compuesto de juntas a las juntas de la placa de yeso e incrustar la cinta de juntas, asegurando un acabado suave y sin costuras. Lijar las juntas según sea necesario para una apariencia uniforme. Aplicar una capa de imprimación seguida de pintura según lo especificado en los requisitos del proyecto.
Si es necesario, instalar paneles de acceso al techo en ubicaciones designadas para un fácil acceso a las instalaciones sobre el techo.</t>
  </si>
  <si>
    <t>Instalación de cerraduras para ventanas controladas por llave.</t>
  </si>
  <si>
    <t>Suministro y entrega de cerraduras para ventanas controladas por llave adecuadas para ventanas existentes con bisagras en la parte superior. Instalación de cerraduras para ventanas controladas por llave en ventanas existentes con bisagras en la parte superior según lo indique el representante del cliente. Evaluación de los marcos de aluminio y el hardware de las ventanas existentes para garantizar la compatibilidad y la instalación adecuada de las cerraduras.
Codificación de las cerraduras para un sistema de llave maestra o un perfil de llave propietario para control de llaves y seguridad.</t>
  </si>
  <si>
    <t>Instalación de extintores de incendios existentes con suministro de nuevos soportes.</t>
  </si>
  <si>
    <t>Suministro y entrega de extintores de incendios según las especificaciones del proyecto y las regulaciones de seguridad.
Instalación de extintores de incendios en ubicaciones designadas en todo el establecimiento de acuerdo con los planes de seguridad contra incendios y las regulaciones.
Montaje de extintores de incendios en paredes de yeso y de concreto utilizando soportes y sujetadores apropiados.
Selección e instalación de soportes adecuados para superficies de pared de yeso y concreto para garantizar la fijación segura de los extintores de incendios.
Coordinación con los funcionarios de seguridad contra incendios para garantizar el cumplimiento de los códigos y normas relevantes.
* incluyendo el segundo piso</t>
  </si>
  <si>
    <t>Estación para cambiar bebés montada en superficie, plegable horizontalmente.</t>
  </si>
  <si>
    <r>
      <rPr>
        <b/>
        <sz val="12"/>
        <rFont val="Calibri"/>
        <family val="2"/>
        <scheme val="minor"/>
      </rPr>
      <t>Especificación del equipo:</t>
    </r>
    <r>
      <rPr>
        <sz val="12"/>
        <rFont val="Calibri"/>
        <family val="2"/>
        <scheme val="minor"/>
      </rPr>
      <t xml:space="preserve">
Estación plegable para cambiar pañales con correas de seguridad.
Material: Polietileno.
Color: según la aprobación del representante del cliente.
Dimensiones: Ancho: 919 mm x Alto: 565 mm, Profundidad: 105 mm cerrado, 580-600 mm abierto.
Capacidad de peso: Mínimo 5 libras.
</t>
    </r>
    <r>
      <rPr>
        <b/>
        <sz val="12"/>
        <rFont val="Calibri"/>
        <family val="2"/>
        <scheme val="minor"/>
      </rPr>
      <t>Instalación:</t>
    </r>
    <r>
      <rPr>
        <sz val="12"/>
        <rFont val="Calibri"/>
        <family val="2"/>
        <scheme val="minor"/>
      </rPr>
      <t xml:space="preserve"> Herrajes de montaje según recomendación del fabricante. Instalación de la estación para cambiar pañales en áreas designadas con un anclaje adecuado a paredes de yeso con refuerzos adicionales, todo según las pautas del fabricante.</t>
    </r>
  </si>
  <si>
    <t>Instalación de protectores de esquina en forma de L de acero inoxidable (Inox).</t>
  </si>
  <si>
    <t>Especificación del material:
Protectores de esquina en forma de L de acero inoxidable 304 (Inox).
Dimensiones: 2 pulgadas por 2 pulgadas (ancho x altura), Longitud: 1 metro, acero calibre 18.
Instalación:
Fijación de los protectores de esquina en forma de L a las esquinas de las paredes utilizando tornillos adecuados o adhesivo.
Asegurar una alineación y colocación adecuadas de los protectores de esquina para cubrir y proteger las esquinas de manera efectiva.
Utilizar sujetadores y métodos de instalación adecuados para asegurar firmemente los protectores de esquina.</t>
  </si>
  <si>
    <t>Instalación de rieles para sillas.</t>
  </si>
  <si>
    <t>Especificaciones del material:
Moldeado de riel para sillas hecho de MDF, diseñado para proteger las paredes de daños causados por sillas y otros muebles. Incluye las piezas de moldura necesarias y conectores.
El acabado del riel para sillas debe ser aprobado por el representante del IOM.
Dimensiones: 1/2 pulgada de grosor y 2.5 pulgadas de altura.
Asegurar la preparación adecuada de la superficie de la pared y utilizar sujetadores apropiados para una fijación segura.</t>
  </si>
  <si>
    <t>Finishes /Sitio5: Adecuación del Piso 5</t>
  </si>
  <si>
    <t>Pintura</t>
  </si>
  <si>
    <t>Colocación de azulejos</t>
  </si>
  <si>
    <t>Azulejos de porcelana para el suelo.</t>
  </si>
  <si>
    <t>Suministro y entrega de azulejos de porcelana para el suelo, para que coincidan con los azulejos del pasillo existentes en forma y color, tamaño de 30x30 cm, acabado mate, resistente al deslizamiento según las normas ANSI, con un grosor de 10 mm, y que cumplan con todos los estándares de resistencia y durabilidad según las normas ANSI. Certificados como respetuosos con el medio ambiente y bajos en VOC.
Evaluación y preparación de la superficie de los azulejos existentes para asegurarse de que esté limpia, nivelada y libre de azulejos sueltos o dañados. Reparación y reemplazo de cualquier sección dañada o irregular del suelo de azulejos existente, incluyendo el relleno de grietas, el nivelado de áreas irregulares y el abordaje de cualquier problema estructural según sea necesario.
Aplicación de un agente de unión o imprimación adecuado para promover la adherencia entre la superficie de azulejos existente y los nuevos azulejos.
Diseño y planificación del patrón de instalación de los azulejos, asegurando una alineación adecuada y simetría con el diseño de azulejos existente y las dimensiones de la habitación.
Corte y ajuste de los nuevos azulejos para que se ajusten exactamente a las dimensiones del área del suelo, incluyendo el suministro e instalación de perfiles de transición de aluminio en áreas con diferente tipo de suelo o diferencia de nivel, o umbral de mármol como alternativa.
Aplicación de adhesivo o mortero para azulejos en la superficie de azulejos existente y posterior colocación de los nuevos azulejos en el patrón deseado, asegurando un espaciado y alineación adecuados. Lechada de las juntas de los azulejos con un material de lechada adecuado, asegurando uniformidad y completitud en la cobertura de la lechada.
Limpieza y acabado de los azulejos instalados para eliminar cualquier exceso de adhesivo, lechada o residuos, y una inspección final para asegurar la calidad.
Sellado de las juntas de lechada y los bordes de los azulejos con un sellador adecuado para proteger contra la infiltración de humedad y las manchas.</t>
  </si>
  <si>
    <t>Instalación de zócalos de azulejos de porcelana.</t>
  </si>
  <si>
    <t>Suministro y entrega de azulejos de porcelana adecuados para zócalos, que combinen o coordinen con los azulejos de suelo utilizados en el proyecto.
Evaluación y preparación de la superficie de la pared para asegurarse de que esté limpia, nivelada y libre de cualquier residuo u obstrucción.
Corte e instalación de azulejos de porcelana a las dimensiones requeridas para la instalación del zócalo, garantizando una alineación adecuada con los azulejos del suelo y las esquinas de la pared.
Sellado de las juntas de la lechada y los bordes de los azulejos con un sellador adecuado para proteger contra la filtración y las manchas.</t>
  </si>
  <si>
    <t>Azulejos de porcelana para baño: paredes y suelos.</t>
  </si>
  <si>
    <t>Suministro y entrega de azulejos cerámicos o de porcelana adecuados para las paredes y suelos del baño, cumpliendo con las especificaciones requeridas de resistencia al agua, durabilidad y estética.
Evaluación y preparación de las paredes y suelos del baño para asegurarse de que estén limpios, lisos y libres de cualquier residuo, grasa o humedad.
Selección de tamaños de azulejos apropiados, colores, patrones y acabados para lograr el diseño y la funcionalidad deseados para el espacio del baño.
Corte e instalación de azulejos a las dimensiones requeridas para la instalación en paredes y suelos, incluyendo alrededor de accesorios, esquinas y obstáculos.
Aplicación de adhesivo o mortero para azulejos en las paredes y suelos preparados y posterior colocación de azulejos, asegurando una alineación adecuada, espaciado y adherencia.
Lechada de las juntas de los azulejos con un material de lechada adecuado, garantizando uniformidad en color, textura y cobertura.
Limpieza y acabado de los azulejos instalados para eliminar cualquier exceso de adhesivo, lechada o residuo, y posterior inspección final para garantizar la calidad.
Sellado de las juntas de la lechada y los bordes de los azulejos con un sellador adecuado para mejorar la resistencia al agua y prevenir la infiltración de humedad.
El precio también incluye todas las capas subyacentes (screed) necesarias para cubrir las nuevas tuberías debajo y el umbral de mármol para cubrir la diferencia de nivel eventual.</t>
  </si>
  <si>
    <t>2.3.1</t>
  </si>
  <si>
    <t>Azulejos de suelo.</t>
  </si>
  <si>
    <t>2.3.2</t>
  </si>
  <si>
    <t>Azulejos de pared con una altura de 1.5 metros, incluyendo perfiles de aluminio en la parte superior y los bordes.</t>
  </si>
  <si>
    <t>Tazas de inodoro (WC) diseñadas específicamente para accesibilidad para personas con discapacidad en baños designados accesibles. Las tazas de inodoro incluirán los accesorios y características necesarios para la accesibilidad para personas con discapacidad, como barras de agarre, brazos de apoyo, altura elevada del asiento y mecanismos de descarga fácil. 1 para el segundo piso.</t>
  </si>
  <si>
    <t xml:space="preserve">Unidad de lavamanos diseñada específicamente para accesibilidad para personas con discapacidad, junto con un grifo de agua automático específico diseñado para accesibilidad.
El grifo de agua automático será seleccionado según los requisitos del proyecto, incluyendo especificaciones para operación sin manos, tecnología de sensor y características de ahorro de agua. 
</t>
  </si>
  <si>
    <t>Instalación de cubículos de baño fabricados en laminado de alta presión (HPL).</t>
  </si>
  <si>
    <t>Suministro y entrega de paneles de laminado de alta presión (HPL) para particiones de baño con un grosor mínimo de 12 mm.
Instalación de particiones/cubículos de baño en áreas designadas de las instalaciones del baño.
Configuración de las particiones de baño para incluir paneles de 1800 mm de altura a 155 mm del nivel del suelo con una altura total de 1955 mm, pilares y puertas según el diseño y los requisitos del baño.
Montaje de paneles de HPL en paredes y suelos utilizando herrajes de acero inoxidable o aluminio.
Instalación de características de privacidad como pestillos de puerta y cerraduras indicadoras.
Longitud aproximada de los paneles: 9.5 m.</t>
  </si>
  <si>
    <t>Trabajos de techo.</t>
  </si>
  <si>
    <t xml:space="preserve">Suministro e instalación de techo suspendido modular.
</t>
  </si>
  <si>
    <t>5.1.1</t>
  </si>
  <si>
    <t>Especificaciones técnicas de los Azulejos de Techo:
Material: Fibra Mineral
Tamaño: 1200 mm x 600 mm
Espesor: 20 mm
Color/Acabado: Modelo a ser aprobado por el Cliente
Clasificación de Fuego: Clase A
Absorción de Sonido: NRC-0.70
Suministro y entrega de materiales modulares para techo suspendido, incluyendo azulejos de techo, carriles principales, travesaños cruzados, molduras perimetrales, cables de suspensión y cualquier otro componente necesario.
Instalación del sistema de rejilla de techo suspendido de acuerdo con las especificaciones del fabricante y las especificaciones técnicas del proyecto.
Alineación y nivelación de carriles principales y travesaños cruzados para crear un diseño de rejilla uniforme.
Corte e instalación de azulejos de techo para acomodar accesorios de iluminación, rejillas de ventilación, rociadores y otros elementos montados en el techo.
Fijación segura de los azulejos de techo al sistema de rejilla, asegurando estabilidad y uniformidad.
Integración de paneles de acceso según sea necesario para el acceso a espacios sobre el techo para mantenimiento.
Coordinación con otros oficios, como eléctrico y HVAC, para garantizar la compatibilidad y la instalación adecuada de los componentes del techo.
Inspección final y limpieza del techo suspendido instalado para garantizar calidad y apariencia.
Gestión de Residuos: Eliminación de cualquier material de desecho, escombros o embalaje generado durante el proceso de instalación de acuerdo con las regulaciones locales.</t>
  </si>
  <si>
    <t>5.1.1.2</t>
  </si>
  <si>
    <t>Estructura de soporte DXL con disposiciones especiales antisísmicas para áreas de más de 13 m2.</t>
  </si>
  <si>
    <t>5.1.2</t>
  </si>
  <si>
    <t>Especificaciones técnicas de los Azulejos de Techo:
Material: Fibra Mineral
Tamaño: 600 mm x 600 mm
Espesor: 20 mm
Color/Acabado: Blanco liso, Perfil del borde: Borde tegular
Clasificación de Fuego: Clase A
Absorción de Sonido: NRC-0.70
Suministro y entrega de materiales modulares para techo suspendido, incluyendo azulejos de techo, carriles principales, travesaños cruzados, molduras perimetrales, cables de suspensión y cualquier otro componente necesario.
Instalación del sistema de rejilla de techo suspendido de acuerdo con las especificaciones del fabricante y las especificaciones técnicas del proyecto.
Alineación y nivelación de carriles principales y travesaños cruzados para crear un diseño de rejilla uniforme.
Corte e instalación de azulejos de techo para acomodar accesorios de iluminación, rejillas de ventilación y otros elementos montados en el techo.
Fijación segura de los azulejos de techo al sistema de rejilla, asegurando estabilidad y uniformidad.
Integración de paneles de acceso según sea necesario para el acceso a espacios sobre el techo para mantenimiento.
Coordinación con otros oficios, como eléctrico y HVAC, para garantizar la compatibilidad y la instalación adecuada de los componentes del techo.
Inspección final y limpieza del techo suspendido instalado para garantizar calidad y apariencia.
Gestión de Residuos: Eliminación de cualquier material de desecho, escombros o embalaje generado durante el proceso de instalación de acuerdo con las regulaciones locales.</t>
  </si>
  <si>
    <t xml:space="preserve">Suministro e instalación únicamente de la estructura del techo suspendido, con la instalación de los azulejos existentes (desmontados de la tercera planta - Salas de Entrevistas) de dimensiones 1200x600 mm.
</t>
  </si>
  <si>
    <r>
      <t xml:space="preserve">Suministro y entrega de materiales modulares para la estructura del techo suspendido solamente, incluyendo carriles principales, travesaños cruzados, molduras perimetrales, cables de suspensión y cualquier otro componente necesario.
Instalación del sistema de rejilla de techo suspendido de acuerdo con las especificaciones del fabricante y las especificaciones técnicas del proyecto.
Alineación y nivelación de carriles principales y travesaños cruzados para crear un diseño de rejilla uniforme.
Corte e instalación de los azulejos de techo </t>
    </r>
    <r>
      <rPr>
        <u/>
        <sz val="12"/>
        <rFont val="Calibri"/>
        <family val="2"/>
        <scheme val="minor"/>
      </rPr>
      <t>existentes</t>
    </r>
    <r>
      <rPr>
        <sz val="12"/>
        <rFont val="Calibri"/>
        <family val="2"/>
        <scheme val="minor"/>
      </rPr>
      <t xml:space="preserve"> previamente desmontados de la tercera planta, de dimensiones 1200x600 mm, para acomodar accesorios de iluminación, rejillas de ventilación, rociadores y otros elementos montados en el techo.
Fijación segura de los azulejos de techo </t>
    </r>
    <r>
      <rPr>
        <u/>
        <sz val="12"/>
        <rFont val="Calibri"/>
        <family val="2"/>
        <scheme val="minor"/>
      </rPr>
      <t>existentes</t>
    </r>
    <r>
      <rPr>
        <sz val="12"/>
        <rFont val="Calibri"/>
        <family val="2"/>
        <scheme val="minor"/>
      </rPr>
      <t xml:space="preserve"> previamente desmontados de la tercera planta, de dimensiones 1200x600 mm, al sistema de rejilla, asegurando estabilidad y uniformidad.
Integración de paneles de acceso según sea necesario para el acceso a espacios sobre el techo para mantenimiento.
Coordinación con otros oficios, como eléctrico y HVAC, para garantizar la compatibilidad y la instalación adecuada de los componentes del techo.
Inspección final y limpieza del techo suspendido instalado para garantizar calidad y apariencia.
Gestión de Residuos: Eliminación de cualquier material de desecho, escombros o embalaje generado durante el proceso de instalación de acuerdo con las regulaciones locales.</t>
    </r>
  </si>
  <si>
    <t>Cielo Raso Perimetral con Soffit y Tablero de Yeso Desplegable.</t>
  </si>
  <si>
    <t>Suministrar e instalar un sofito perimetral de techo hecho de paneles de tablero de yeso para formar el cierre lateral para el sistema de techo suspendido modular. El sofito se fijará al techo con una caída de 1 metro.
Material: Paneles de tablero de yeso con un grosor de 12.5 mm, perfiles de acero galvanizado para el armazón, con madera en la parte inferior para garantizar una correcta fijación de las cortinas, todo según el detalle proporcionado en los planos.
Instalación: Instalar perfiles de metal a lo largo del perímetro del techo con una caída de 1 metro, espaciados de acuerdo con las recomendaciones del fabricante y los detalles proporcionados en la documentación técnica. Fijar los paneles de tablero de yeso a los perfiles de metal utilizando tornillos para tablero de yeso, asegurando una alineación y un espaciado adecuados.
Acabado (aplicado solo en el lado inferior 0.20 m): Aplicar masilla en las juntas de los paneles de tablero de yeso y embeber cinta de juntas. Instalar esquinas metálicas en las esquinas exteriores. Terminar la superficie de tablero de yeso con múltiples capas de masilla para juntas, lijando entre capas para obtener un acabado liso. Imprimar y pintar para el acabado final.
Acabado (aplicado en el lado h=1.00m): Pintar solamente, sin masilla para juntas.</t>
  </si>
  <si>
    <t xml:space="preserve">Instalación de techo suspendido de tablero de yeso.
</t>
  </si>
  <si>
    <t>Proporcionar e instalar un sistema de techo suspendido de tablero de yeso para cubrir las áreas designadas como baños y áreas de servicio.
Materiales:
Paneles de Tablero de Yeso: Suministrar paneles de tablero de yeso de yeso con un grosor de 12.5 mm.
Componentes de la Rejilla de Suspensión: Proporcionar carriles principales, travesaños cruzados y molduras perimetrales para la rejilla de suspensión. Asegurar que los componentes sean compatibles con los requisitos de instalación especificados por el fabricante.
Hardware de Suspensión: Incluir sujetadores, alambres y otros elementos necesarios para ensamblar la rejilla de suspensión y asegurar los paneles de tablero de yeso.
Compuesto y Cinta para Juntas: Suministrar compuesto para juntas para tapar y terminar las juntas del tablero de yeso, asegurando una apariencia uniforme.
Paneles de Acceso al Techo: Incluir opcionalmente paneles de acceso al techo para un acceso conveniente a las utilidades por encima del techo, si es necesario.
Instalación:
Fijar los paneles de tablero de yeso a la rejilla de suspensión utilizando los sujetadores adecuados, asegurando que los paneles estén firmemente en su lugar y correctamente alineados.
Aplicar compuesto para juntas en las juntas del tablero de yeso y embeber cinta de juntas, asegurando un acabado suave y uniforme. Lijar las juntas según sea necesario para una apariencia uniforme.
Aplicar una capa de imprimación seguida de pintura según lo especificado en los requisitos del proyecto.
Si es necesario, instalar paneles de acceso al techo en las ubicaciones designadas para un fácil acceso a las utilidades por encima del techo.</t>
  </si>
  <si>
    <t>Instalación de techo suspendido de tablero de yeso a nivel inferior.</t>
  </si>
  <si>
    <t>Instalación de un sistema de techo suspendido de tablero de yeso a un nivel inferior al techo modular según los detalles en el dibujo del techo invertido para dar cabida a la instalación de conductos a una altura aumentada.
Las especificaciones de trabajo son las mismas que en el ítem 5.4.</t>
  </si>
  <si>
    <t>5.5.1</t>
  </si>
  <si>
    <t>Superficie horizontal.</t>
  </si>
  <si>
    <t>5.5.2</t>
  </si>
  <si>
    <t>Longitud vertical del sofito, con una altura de 0.4 metros.</t>
  </si>
  <si>
    <t>5.5.3</t>
  </si>
  <si>
    <t>Longitud vertical del sofito, con una altura de 0.25 metros.</t>
  </si>
  <si>
    <t>Suministro e Instalación de una Puerta Plegable Acústica.</t>
  </si>
  <si>
    <t>Especificaciones del Material:
Paneles de la Puerta: Material acústico de alta densidad con propiedades de insonorización, con dimensiones adecuadas para una longitud de 9.5 metros y una altura de 2.1 metros (la dimensión exacta se medirá en el lugar).
Marco: Marco de aluminio o acero, diseñado para estabilidad estructural y durabilidad.
Mecanismo de Plegado: Bi-plegado, permitiendo que los paneles de la puerta se plieguen y apilen ordenadamente al abrirse.
Rendimiento Acústico: Clasificación STC mínima de 42 y NRC de 0.65 para proporcionar aislamiento acústico efectivo entre las aulas.
Sellado: Sellos perimetrales integrados y sellos inferiores para minimizar la fuga de sonido.
Hardware: Bisagras, rieles y mecanismo de bloqueo de servicio pesado para un funcionamiento suave y seguridad.
Acabado: Acabado duradero y fácil de limpiar adecuado para entornos educativos.
Características de Seguridad: Diseño a prueba de dedos y mecanismo de liberación de emergencia.
Instalación profesional por técnicos experimentados para garantizar una alineación, operación y funcionalidad adecuadas de la puerta plegable acústica.
Garantía del fabricante que cubre defectos en materiales y mano de obra por un mínimo de 3 años.</t>
  </si>
  <si>
    <t>Instalación de Cerraduras para Ventanas con control de llave.</t>
  </si>
  <si>
    <t>Suministro y entrega de cerraduras para ventanas con control de llave adecuadas para ventanas existentes de apertura superior. Instalación de cerraduras para ventanas con control de llave en las ventanas existentes de apertura superior según lo indique el representante del cliente. Evaluación de los marcos de aluminio y el hardware de las ventanas existentes para garantizar la compatibilidad y la instalación adecuada de las cerraduras.
Configuración de las cerraduras para un sistema de llaves maestras o un sistema de llaves exclusivo para un control y seguridad óptimos.</t>
  </si>
  <si>
    <t>Instalación de Extintores de Incendios existentes con suministro de nuevos ganchos.</t>
  </si>
  <si>
    <t>Suministro y entrega de extintores de incendios según las especificaciones del proyecto y las regulaciones de seguridad.
Instalación de extintores de incendios en ubicaciones designadas en toda la instalación de acuerdo con los planes de seguridad contra incendios y las regulaciones.
Montaje de extintores de incendios en paredes de tablero de yeso y hormigón utilizando ganchos y sujetadores apropiados.
Selección e instalación de ganchos adecuados para superficies de pared de tablero de yeso y hormigón para garantizar la sujeción segura de los extintores de incendios.
Coordinación con los oficiales de seguridad contra incendios para garantizar el cumplimiento de los códigos y normas relevantes.</t>
  </si>
  <si>
    <t>Estación para Cambio de Pañales Plegable Horizontal, Montada en la Superficie.</t>
  </si>
  <si>
    <r>
      <rPr>
        <b/>
        <sz val="12"/>
        <rFont val="Calibri"/>
        <family val="2"/>
        <scheme val="minor"/>
      </rPr>
      <t>Especificaciones del Equipo:</t>
    </r>
    <r>
      <rPr>
        <sz val="12"/>
        <rFont val="Calibri"/>
        <family val="2"/>
        <scheme val="minor"/>
      </rPr>
      <t xml:space="preserve">
Estación de Cambio de Pañales Plegable con Correas de Seguridad
Material: Polietileno
Color: según la aprobación del representante del cliente
Dimensiones: 919 mm de ancho x 565 mm de alto, Profundidad: 105 mm cerrado, 580-600 mm abierto
Capacidad de Peso: Mínimo 5 libras
</t>
    </r>
    <r>
      <rPr>
        <b/>
        <sz val="12"/>
        <rFont val="Calibri"/>
        <family val="2"/>
        <scheme val="minor"/>
      </rPr>
      <t>Instalación:</t>
    </r>
    <r>
      <rPr>
        <sz val="12"/>
        <rFont val="Calibri"/>
        <family val="2"/>
        <scheme val="minor"/>
      </rPr>
      <t xml:space="preserve"> Hardware de montaje según recomendación del fabricante. Instalación de la estación de cambio de pañales en áreas designadas con un anclaje adecuado a paredes de tablero de yeso con refuerzos adicionales, todo según las pautas del fabricante.</t>
    </r>
  </si>
  <si>
    <t>Instalación de protectores de esquina en forma de L de acero inoxidable.</t>
  </si>
  <si>
    <t>Especificaciones del Material:
Protectores de esquina en forma de L de acero inoxidable 304 (Inox).
Dimensiones: 2 pulgadas por 2 pulgadas (ancho x alto), Longitud: 1 metro, acero calibre 18.
Instalación:
Montaje de los protectores de esquina en forma de L en las esquinas de las paredes utilizando tornillos o adhesivo apropiado.
Asegurar la alineación y colocación adecuadas de los protectores de esquina para cubrir y proteger las esquinas de manera efectiva.
Utilizar sujetadores y métodos de instalación adecuados para asegurar firmemente los protectores de esquina.</t>
  </si>
  <si>
    <t>Instalación de rieles de silla.</t>
  </si>
  <si>
    <t>Especificaciones del Material:
Moldura de riel de silla fabricada en MDF, diseñada para proteger las paredes contra daños causados por sillas y otros muebles. Incluye piezas de acabado necesarias y conectores.
El acabado del riel de la silla debe ser aprobado por el representante del IOM.
Dimensiones: 1/2" de grosor y 2.5" de altura.
Asegurar una preparación adecuada de la superficie de la pared y utilizar sujetadores apropiados para una sujeción segura.</t>
  </si>
  <si>
    <t>Instalación de un sistema de barandilla de tubo de aluminio con accesorios prefabricados de acero inoxidable.</t>
  </si>
  <si>
    <r>
      <rPr>
        <b/>
        <sz val="12"/>
        <rFont val="Calibri"/>
        <family val="2"/>
        <scheme val="minor"/>
      </rPr>
      <t>Especificaciones del Material:</t>
    </r>
    <r>
      <rPr>
        <sz val="12"/>
        <rFont val="Calibri"/>
        <family val="2"/>
        <scheme val="minor"/>
      </rPr>
      <t xml:space="preserve">
1. Secciones prefabricadas de barandilla de aluminio fabricadas en aluminio anodizado AA6063, con canales o ranuras integradas para una fácil instalación de accesorios, con las siguientes dimensiones: tubo de pedestales de 40 mm, tubo de pasamanos de 50 mm y barandilla horizontal de 16 mm. Altura de la barandilla 1100 mm.
2. Accesorios de acero inoxidable (inox) listos para usar para fijar y asegurar la barandilla de aluminio, incluyendo:
a) Soportes montados en la pared o postes para soportar las secciones de barandilla.
b) Tapones finales para terminar los extremos de las secciones de barandilla.
c) Conectores rectos, conectores de esquina y conectores ajustables para unir secciones de barandilla y crear configuraciones personalizadas.
d) Tornillos, pernos y anclajes de acero inoxidable para fijar la barandilla y los accesorios a la superficie de montaje.
3. Hardware de montaje:
a) Anclajes: Anclajes de expansión o tornillos de fijación para sujetar los postes de la barandilla al concreto.
b) Placas base: Placas base para fijar los postes de la barandilla a la superficie de montaje.
c) Separadores: Separadores o calzas para nivelar las secciones de barandilla y mantener una alineación adecuada.
Instalación:
- Preparación de la superficie de montaje.
- Ensamblaje e instalación de las secciones de barandilla y accesorios.
- Alineación y nivelación de las secciones de barandilla.
- Fijación segura de la barandilla y los accesorios utilizando los sujetadores adecuados.
- Se proporcionarán dibujos de taller y componentes materiales para su revisión y aprobación por parte del IOM.
</t>
    </r>
  </si>
  <si>
    <t>Finishes /Sitio6: Adecuación del Piso 6</t>
  </si>
  <si>
    <t>Pisos de baldosas de porcelana.</t>
  </si>
  <si>
    <t>Suministro y entrega de baldosas de porcelana para el suelo, para que se ajusten a las baldosas del pasillo existentes en forma y color, tamaño de 30x30 cm, acabado mate, resistente al deslizamiento según las normas ANSI, con un grosor de 10 mm, y que cumplan con todos los estándares de resistencia y durabilidad según las normas ANSI. Certificadas como respetuosas con el medio ambiente y con bajos niveles de compuestos orgánicos volátiles (VOC).
Evaluación y preparación de la superficie de baldosas existente para asegurar que esté limpia, nivelada y libre de baldosas sueltas o dañadas. Reparación y reemplazo de cualquier sección dañada o desigual del suelo de baldosas existente, incluyendo el relleno de grietas, el nivelado de áreas desiguales y la solución de problemas estructurales según sea necesario.
Aplicación de un agente de unión o imprimación adecuado para promover la adhesión entre la superficie de baldosas existente y las nuevas baldosas.
Diseño y planificación del patrón de instalación de las baldosas, asegurando una alineación y simetría adecuadas con el diseño de baldosas existente y las dimensiones de la habitación.
Corte e instalación de nuevas baldosas para que se ajusten exactamente a las dimensiones del área del suelo, incluyendo el suministro e instalación de perfiles de transición de aluminio en áreas con diferentes tipos de suelo o diferencias de nivel, o un umbral de mármol como alternativa.
Aplicación de adhesivo o mortero para baldosas a la superficie de baldosas existente y colocación posterior de las nuevas baldosas en el patrón deseado, asegurando un espaciado y alineación adecuados. Lechada de las juntas de las baldosas con un material de lechada adecuado, asegurando uniformidad y completitud en la cobertura de la lechada.
Limpieza y acabado de las baldosas instaladas para eliminar cualquier exceso de adhesivo, lechada o escombros, y una inspección final para garantizar la calidad.
Sellado de las juntas de lechada y bordes de baldosas con un sellador adecuado para proteger contra la infiltración de humedad y manchas.</t>
  </si>
  <si>
    <t>Instalación de zócalos de baldosas de porcelana.</t>
  </si>
  <si>
    <t>Suministro y entrega de baldosas de porcelana adecuadas para zócalos, que combinen o coordinen con las baldosas del suelo utilizadas en el proyecto.
Evaluación y preparación de la superficie de la pared para asegurar que esté limpia, nivelada y libre de cualquier escombro u obstrucción.
Corte e instalación de baldosas de porcelana a las dimensiones requeridas para la instalación del zócalo, asegurando una alineación adecuada con las baldosas del suelo y las esquinas de la pared.
Sellado de las juntas de lechada y bordes de baldosas con un sellador adecuado para proteger contra la filtración y las manchas.</t>
  </si>
  <si>
    <t>Suministro e instalación de Zócalos Flexibles de Poliuretano, con una altura de plinto de 100 mm. (para que coincidan con los zócalos existentes).</t>
  </si>
  <si>
    <t xml:space="preserve">Alcance del Trabajo:
Suministrar e instalar zócalos de Flexibles de Poliuretano para que coincidan con los zócalos existentes en las áreas designadas según las especificaciones del proyecto y los dibujos de diseño. Asegurar una integración perfecta con los zócalos existentes, tanto en términos de estilo como de color. Cortar y unir los zócalos en esquinas y juncos para un acabado preciso y profesional.
Materiales:
Zócalos de PVC: Proporcionar zócalos de Flexibles de Poliuretano que coincidan con el perfil, dimensiones y color de los zócalos existentes. Utilizar un adhesivo adecuado para la instalación de zócalos de PVC, asegurando una unión segura a la superficie de tablero de yeso. Incluir cualquier elemento de acabado necesario, como tapas finales o piezas de esquina, para garantizar una apariencia pulida.
Instalación:
Medir y marcar la altura correcta para los nuevos zócalos de Flexibles de Poliuretano, alineándolos con los zócalos existentes. Cortar los zócalos a las longitudes requeridas, teniendo en cuenta cualquier esquina o junta. Aplicar adhesivo en la parte posterior de los zócalos y fijarlos firmemente al tablero de yeso. Asegurar una alineación adecuada y nivelar los zócalos, realizando ajustes según sea necesario. Cortar en inglete las esquinas e instalar elementos de acabado para obtener un resultado cohesivo y estéticamente agradable.
Dejar el área de trabajo limpia y organizada al completar.
</t>
  </si>
  <si>
    <t xml:space="preserve">Suministro e instalación de un techo suspendido modular (similar al techo modular existente).
</t>
  </si>
  <si>
    <t>Suministro y entrega de materiales para techo suspendido modular, incluyendo baldosas de techo, rieles principales, travesaños transversales, molduras perimetrales, cables de suspensión y cualquier otro componente necesario, similar al techo modular existente que se ampliará según las especificaciones en los dibujos de diseño.
Instalación del sistema de rejilla de techo suspendido de acuerdo con las especificaciones del fabricante y las Especificaciones Técnicas del Proyecto.
Alineación y nivelación de los rieles principales y los travesaños transversales para crear un diseño uniforme de la rejilla con un techo suspendido existente.
Corte y ajuste de las baldosas de techo para acomodar accesorios de iluminación, rejillas de aire y otros elementos montados en el techo.
Fijación segura de las baldosas de techo al sistema de rejilla, asegurando estabilidad y uniformidad.
Integración de paneles de acceso o escotillas según sea necesario para acceder a espacios sobre el techo.
Coordinación con otros oficios, como electricidad y HVAC, para garantizar la compatibilidad y la instalación adecuada de los componentes del techo.
Disposición adecuada de la eliminación de los materiales de desecho generados durante el proceso de instalación de acuerdo con las regulaciones locales.</t>
  </si>
  <si>
    <t>Sofito perimetral del techo con paneles de yeso desplegables.</t>
  </si>
  <si>
    <t>Proporcione e instale un sofito perimetral de techo hecho de paneles de yeso para formar el cierre lateral para el sistema de techo suspendido modular. El sofito estará unido al techo con un descenso de 1 metro.
Material: Hojas de yeso de 12.5 mm de grosor, montantes de acero galvanizado para el marco, con madera en la parte inferior para garantizar la sujeción adecuada de las cortinas, todo según el detalle proporcionado en los dibujos.
Instalación: Instale montantes de metal a lo largo del perímetro del techo a una distancia de descenso de 1 metro, espaciados de acuerdo con las recomendaciones del fabricante y los dibujos detallados que forman parte de la documentación técnica. Fije las hojas de yeso a los montantes de metal utilizando tornillos para yeso, asegurando una alineación y espaciado adecuados.
Acabado (aplicación solo en el lado inferior 0.20 m): Aplique compuesto para juntas de paneles de yeso y incruste cinta de juntas. Instale esquinas de metal en las esquinas externas. Termine la superficie de paneles de yeso con varias capas de compuesto para juntas, lijando entre capas para obtener un acabado liso. Imprimación y pintura para el acabado final.
Acabado (aplicación en el lado h = 1.00 m): Solo pintura, no se aplica compuesto para juntas.</t>
  </si>
  <si>
    <t>GRAND TOTAL LOTE1 + LOTE 2+ LOTE 3 + LOTE4</t>
  </si>
  <si>
    <t xml:space="preserve">Basement </t>
  </si>
  <si>
    <t xml:space="preserve">Floor 1 </t>
  </si>
  <si>
    <t>Floor 3</t>
  </si>
  <si>
    <t>Floor 5</t>
  </si>
  <si>
    <t>Floor 6</t>
  </si>
  <si>
    <t>SubTotal Works</t>
  </si>
  <si>
    <t>I</t>
  </si>
  <si>
    <t xml:space="preserve">Demolitions, Dismantling and Re-installations </t>
  </si>
  <si>
    <t>II</t>
  </si>
  <si>
    <t xml:space="preserve">Partitions </t>
  </si>
  <si>
    <t>III</t>
  </si>
  <si>
    <t xml:space="preserve">Finishes </t>
  </si>
  <si>
    <t xml:space="preserve">Subtotal per Floor </t>
  </si>
  <si>
    <t>A.</t>
  </si>
  <si>
    <t xml:space="preserve">A. TOTAL Architectural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</si>
</sst>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quot;$&quot;#,##0.00_);\(&quot;$&quot;#,##0.00\)"/>
    <numFmt numFmtId="165" formatCode="_(* #,##0_);_(* \(#,##0\);_(* &quot;-&quot;??_);_(@_)"/>
    <numFmt numFmtId="166" formatCode="&quot;$&quot;#,##0.00"/>
  </numFmts>
  <fonts count="27" x14ac:knownFonts="1">
    <font>
      <sz val="11"/>
      <color theme="1"/>
      <name val="Calibri"/>
      <family val="2"/>
      <scheme val="minor"/>
    </font>
    <font>
      <sz val="11"/>
      <color theme="1"/>
      <name val="Calibri"/>
      <family val="2"/>
      <scheme val="minor"/>
    </font>
    <font>
      <sz val="8"/>
      <name val="Calibri"/>
      <family val="2"/>
      <scheme val="minor"/>
    </font>
    <font>
      <b/>
      <sz val="12"/>
      <color rgb="FFFF00FF"/>
      <name val="Calibri"/>
      <family val="2"/>
      <scheme val="minor"/>
    </font>
    <font>
      <sz val="12"/>
      <color theme="1"/>
      <name val="Calibri"/>
      <family val="2"/>
      <scheme val="minor"/>
    </font>
    <font>
      <b/>
      <sz val="12"/>
      <name val="Calibri"/>
      <family val="2"/>
      <scheme val="minor"/>
    </font>
    <font>
      <sz val="12"/>
      <name val="Calibri"/>
      <family val="2"/>
      <scheme val="minor"/>
    </font>
    <font>
      <i/>
      <sz val="10"/>
      <color theme="1"/>
      <name val="Calibri"/>
      <family val="2"/>
      <scheme val="minor"/>
    </font>
    <font>
      <i/>
      <sz val="12"/>
      <color theme="1"/>
      <name val="Calibri"/>
      <family val="2"/>
      <scheme val="minor"/>
    </font>
    <font>
      <b/>
      <i/>
      <sz val="14"/>
      <color theme="1"/>
      <name val="Calibri"/>
      <family val="2"/>
      <scheme val="minor"/>
    </font>
    <font>
      <b/>
      <sz val="12"/>
      <color rgb="FF0070C0"/>
      <name val="Calibri"/>
      <family val="2"/>
      <scheme val="minor"/>
    </font>
    <font>
      <sz val="12"/>
      <color rgb="FF0070C0"/>
      <name val="Calibri"/>
      <family val="2"/>
      <scheme val="minor"/>
    </font>
    <font>
      <b/>
      <i/>
      <sz val="12"/>
      <name val="Calibri"/>
      <family val="2"/>
      <scheme val="minor"/>
    </font>
    <font>
      <b/>
      <i/>
      <sz val="12"/>
      <color theme="1"/>
      <name val="Calibri"/>
      <family val="2"/>
      <scheme val="minor"/>
    </font>
    <font>
      <b/>
      <sz val="12"/>
      <color theme="8"/>
      <name val="Calibri"/>
      <family val="2"/>
      <scheme val="minor"/>
    </font>
    <font>
      <b/>
      <sz val="14"/>
      <color rgb="FF0000FF"/>
      <name val="Calibri"/>
      <family val="2"/>
      <scheme val="minor"/>
    </font>
    <font>
      <b/>
      <sz val="14"/>
      <name val="Calibri"/>
      <family val="2"/>
      <scheme val="minor"/>
    </font>
    <font>
      <b/>
      <sz val="11"/>
      <color theme="1"/>
      <name val="Calibri"/>
      <family val="2"/>
      <scheme val="minor"/>
    </font>
    <font>
      <b/>
      <sz val="12"/>
      <color theme="1"/>
      <name val="Calibri"/>
      <family val="2"/>
      <scheme val="minor"/>
    </font>
    <font>
      <sz val="12"/>
      <color rgb="FF0000FF"/>
      <name val="Calibri"/>
      <family val="2"/>
      <scheme val="minor"/>
    </font>
    <font>
      <b/>
      <sz val="12"/>
      <color rgb="FF000000"/>
      <name val="Calibri"/>
      <family val="2"/>
      <scheme val="minor"/>
    </font>
    <font>
      <i/>
      <sz val="12"/>
      <name val="Calibri"/>
      <family val="2"/>
      <scheme val="minor"/>
    </font>
    <font>
      <sz val="12"/>
      <color rgb="FFFF0000"/>
      <name val="Calibri"/>
      <family val="2"/>
      <scheme val="minor"/>
    </font>
    <font>
      <u/>
      <sz val="12"/>
      <name val="Calibri"/>
      <family val="2"/>
      <scheme val="minor"/>
    </font>
    <font>
      <b/>
      <sz val="16"/>
      <color rgb="FF0070C0"/>
      <name val="Calibri"/>
      <family val="2"/>
      <scheme val="minor"/>
    </font>
    <font>
      <b/>
      <sz val="12"/>
      <color theme="5"/>
      <name val="Calibri"/>
      <family val="2"/>
      <scheme val="minor"/>
    </font>
    <font>
      <sz val="12"/>
      <color theme="5"/>
      <name val="Calibri (Body)"/>
    </font>
  </fonts>
  <fills count="8">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style="hair">
        <color auto="1"/>
      </left>
      <right style="hair">
        <color auto="1"/>
      </right>
      <top style="hair">
        <color auto="1"/>
      </top>
      <bottom style="hair">
        <color auto="1"/>
      </bottom>
      <diagonal/>
    </border>
    <border>
      <left/>
      <right/>
      <top/>
      <bottom style="hair">
        <color theme="0"/>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theme="0"/>
      </bottom>
      <diagonal/>
    </border>
    <border>
      <left/>
      <right style="hair">
        <color auto="1"/>
      </right>
      <top/>
      <bottom style="hair">
        <color theme="0"/>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1" fillId="0" borderId="0"/>
  </cellStyleXfs>
  <cellXfs count="134">
    <xf numFmtId="0" fontId="0" fillId="0" borderId="0" xfId="0"/>
    <xf numFmtId="0" fontId="4" fillId="0" borderId="0" xfId="0" applyFont="1"/>
    <xf numFmtId="0" fontId="4" fillId="0" borderId="0" xfId="0" applyFont="1" applyAlignment="1">
      <alignment wrapText="1"/>
    </xf>
    <xf numFmtId="0" fontId="6" fillId="0" borderId="0" xfId="0" applyFont="1" applyAlignment="1">
      <alignment horizontal="center" vertical="center" wrapText="1"/>
    </xf>
    <xf numFmtId="2" fontId="4" fillId="0" borderId="0" xfId="0" applyNumberFormat="1" applyFont="1"/>
    <xf numFmtId="0" fontId="6" fillId="0" borderId="0" xfId="0" applyFont="1" applyAlignment="1">
      <alignment vertical="center"/>
    </xf>
    <xf numFmtId="43" fontId="4" fillId="0" borderId="0" xfId="0" applyNumberFormat="1" applyFont="1"/>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vertical="center" wrapText="1"/>
    </xf>
    <xf numFmtId="41" fontId="5" fillId="0" borderId="1" xfId="2" applyFont="1" applyFill="1" applyBorder="1" applyAlignment="1">
      <alignment horizontal="center" vertical="center"/>
    </xf>
    <xf numFmtId="0" fontId="12" fillId="0" borderId="1" xfId="0" applyFont="1" applyBorder="1" applyAlignment="1">
      <alignment horizontal="left" vertical="center"/>
    </xf>
    <xf numFmtId="165" fontId="6" fillId="0" borderId="1" xfId="0" applyNumberFormat="1" applyFont="1" applyBorder="1" applyAlignment="1">
      <alignment vertical="center"/>
    </xf>
    <xf numFmtId="165" fontId="6" fillId="0" borderId="1" xfId="1" applyNumberFormat="1" applyFont="1" applyFill="1" applyBorder="1" applyAlignment="1">
      <alignment vertical="center"/>
    </xf>
    <xf numFmtId="0" fontId="4" fillId="0" borderId="2" xfId="0" applyFont="1" applyBorder="1"/>
    <xf numFmtId="43" fontId="6" fillId="0" borderId="0" xfId="1" applyFont="1" applyBorder="1" applyAlignment="1">
      <alignment horizontal="center" vertical="center"/>
    </xf>
    <xf numFmtId="43" fontId="5" fillId="0" borderId="1" xfId="1" applyFont="1" applyBorder="1" applyAlignment="1">
      <alignment horizontal="center" vertical="center"/>
    </xf>
    <xf numFmtId="43" fontId="6" fillId="0" borderId="1" xfId="1" applyFont="1" applyBorder="1" applyAlignment="1">
      <alignment horizontal="center" vertical="center"/>
    </xf>
    <xf numFmtId="43" fontId="6" fillId="0" borderId="1" xfId="1" applyFont="1" applyBorder="1" applyAlignment="1">
      <alignment horizontal="right" vertical="center"/>
    </xf>
    <xf numFmtId="43" fontId="4" fillId="0" borderId="2" xfId="1" applyFont="1" applyBorder="1"/>
    <xf numFmtId="43" fontId="4" fillId="0" borderId="0" xfId="1" applyFont="1"/>
    <xf numFmtId="0" fontId="4" fillId="0" borderId="6" xfId="0" applyFont="1" applyBorder="1"/>
    <xf numFmtId="0" fontId="4" fillId="0" borderId="7" xfId="0" applyFont="1" applyBorder="1"/>
    <xf numFmtId="43" fontId="4" fillId="0" borderId="7" xfId="1" applyFont="1" applyBorder="1"/>
    <xf numFmtId="0" fontId="4" fillId="0" borderId="8" xfId="0" applyFont="1" applyBorder="1"/>
    <xf numFmtId="0" fontId="4" fillId="0" borderId="9" xfId="0" applyFont="1" applyBorder="1"/>
    <xf numFmtId="0" fontId="3" fillId="0" borderId="0" xfId="0" applyFont="1" applyAlignment="1">
      <alignment horizontal="center" vertical="center"/>
    </xf>
    <xf numFmtId="0" fontId="4" fillId="0" borderId="10" xfId="0" applyFont="1" applyBorder="1"/>
    <xf numFmtId="0" fontId="6" fillId="0" borderId="0" xfId="0" applyFont="1" applyAlignment="1">
      <alignment horizontal="center" vertical="center"/>
    </xf>
    <xf numFmtId="0" fontId="6" fillId="0" borderId="0" xfId="0" applyFont="1" applyAlignment="1">
      <alignment vertical="center" wrapText="1"/>
    </xf>
    <xf numFmtId="0" fontId="6" fillId="0" borderId="10" xfId="0" applyFont="1" applyBorder="1" applyAlignment="1">
      <alignment vertical="center"/>
    </xf>
    <xf numFmtId="165" fontId="5" fillId="0" borderId="10" xfId="0" applyNumberFormat="1" applyFont="1" applyBorder="1" applyAlignment="1">
      <alignment vertical="center"/>
    </xf>
    <xf numFmtId="2" fontId="6" fillId="0" borderId="10" xfId="0" applyNumberFormat="1" applyFont="1" applyBorder="1" applyAlignment="1">
      <alignment vertical="center"/>
    </xf>
    <xf numFmtId="0" fontId="4" fillId="0" borderId="11" xfId="0" applyFont="1" applyBorder="1"/>
    <xf numFmtId="0" fontId="4" fillId="0" borderId="12" xfId="0" applyFont="1" applyBorder="1"/>
    <xf numFmtId="0" fontId="4" fillId="0" borderId="0" xfId="0" applyFont="1" applyAlignment="1">
      <alignment horizontal="left" wrapText="1"/>
    </xf>
    <xf numFmtId="43" fontId="0" fillId="0" borderId="0" xfId="1" applyFont="1" applyBorder="1"/>
    <xf numFmtId="43" fontId="6" fillId="0" borderId="0" xfId="1" applyFont="1" applyBorder="1" applyAlignment="1">
      <alignment vertical="center"/>
    </xf>
    <xf numFmtId="43" fontId="4" fillId="0" borderId="0" xfId="1" applyFont="1" applyBorder="1" applyAlignment="1">
      <alignment vertical="top"/>
    </xf>
    <xf numFmtId="0" fontId="4" fillId="0" borderId="0" xfId="0" applyFont="1" applyAlignment="1">
      <alignment vertical="top"/>
    </xf>
    <xf numFmtId="0" fontId="4" fillId="0" borderId="13" xfId="0" applyFont="1" applyBorder="1"/>
    <xf numFmtId="0" fontId="4" fillId="0" borderId="14" xfId="0" applyFont="1" applyBorder="1"/>
    <xf numFmtId="43" fontId="4" fillId="0" borderId="14" xfId="1" applyFont="1" applyBorder="1"/>
    <xf numFmtId="0" fontId="4" fillId="0" borderId="15" xfId="0" applyFont="1" applyBorder="1"/>
    <xf numFmtId="0" fontId="6" fillId="0" borderId="1" xfId="0" applyFont="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vertical="center"/>
    </xf>
    <xf numFmtId="0" fontId="5" fillId="0" borderId="1" xfId="0" applyFont="1" applyBorder="1" applyAlignment="1">
      <alignment vertical="top" wrapText="1"/>
    </xf>
    <xf numFmtId="0" fontId="6" fillId="0" borderId="5" xfId="0" applyFont="1" applyBorder="1" applyAlignment="1">
      <alignment horizontal="center" vertical="center"/>
    </xf>
    <xf numFmtId="43" fontId="6" fillId="0" borderId="3" xfId="1" applyFont="1" applyBorder="1" applyAlignment="1">
      <alignment horizontal="right" vertical="center"/>
    </xf>
    <xf numFmtId="0" fontId="6" fillId="0" borderId="3" xfId="0" applyFont="1" applyBorder="1" applyAlignment="1">
      <alignment horizontal="center" vertical="center"/>
    </xf>
    <xf numFmtId="0" fontId="6" fillId="0" borderId="3" xfId="0" applyFont="1" applyBorder="1" applyAlignment="1">
      <alignment vertical="top" wrapText="1"/>
    </xf>
    <xf numFmtId="0" fontId="6" fillId="0" borderId="1" xfId="0" applyFont="1" applyBorder="1" applyAlignment="1">
      <alignment horizontal="center" vertical="top"/>
    </xf>
    <xf numFmtId="0" fontId="6" fillId="0" borderId="1" xfId="0" applyFont="1" applyBorder="1" applyAlignment="1">
      <alignment wrapText="1"/>
    </xf>
    <xf numFmtId="0" fontId="5" fillId="0" borderId="0" xfId="0" applyFont="1" applyAlignment="1">
      <alignment horizontal="center" vertical="center"/>
    </xf>
    <xf numFmtId="165" fontId="5" fillId="0" borderId="0" xfId="0" applyNumberFormat="1" applyFont="1" applyAlignment="1">
      <alignment vertical="center"/>
    </xf>
    <xf numFmtId="166" fontId="0" fillId="0" borderId="16" xfId="0" applyNumberFormat="1" applyBorder="1"/>
    <xf numFmtId="0" fontId="0" fillId="0" borderId="16" xfId="0" applyBorder="1"/>
    <xf numFmtId="0" fontId="0" fillId="0" borderId="17" xfId="0" applyBorder="1"/>
    <xf numFmtId="0" fontId="0" fillId="0" borderId="18" xfId="0" applyBorder="1"/>
    <xf numFmtId="0" fontId="17" fillId="0" borderId="18" xfId="0" applyFont="1" applyBorder="1" applyAlignment="1">
      <alignment horizontal="center"/>
    </xf>
    <xf numFmtId="0" fontId="18" fillId="4" borderId="23" xfId="0" applyFont="1" applyFill="1" applyBorder="1"/>
    <xf numFmtId="0" fontId="4" fillId="0" borderId="22" xfId="0" applyFont="1" applyBorder="1" applyAlignment="1">
      <alignment horizontal="center" vertical="center"/>
    </xf>
    <xf numFmtId="0" fontId="17" fillId="0" borderId="20" xfId="0" applyFont="1" applyBorder="1" applyAlignment="1">
      <alignment horizontal="center" vertical="top"/>
    </xf>
    <xf numFmtId="0" fontId="17" fillId="0" borderId="19" xfId="0" applyFont="1" applyBorder="1" applyAlignment="1">
      <alignment horizontal="center"/>
    </xf>
    <xf numFmtId="0" fontId="0" fillId="0" borderId="21" xfId="0" applyBorder="1"/>
    <xf numFmtId="0" fontId="19" fillId="0" borderId="1" xfId="0" applyFont="1" applyBorder="1" applyAlignment="1">
      <alignment horizontal="center" vertical="center"/>
    </xf>
    <xf numFmtId="0" fontId="20" fillId="0" borderId="1" xfId="0" applyFont="1" applyBorder="1" applyAlignment="1">
      <alignment vertical="center" wrapText="1"/>
    </xf>
    <xf numFmtId="0" fontId="5" fillId="0" borderId="1" xfId="0" applyFont="1" applyBorder="1" applyAlignment="1">
      <alignment horizontal="left" vertical="top" wrapText="1"/>
    </xf>
    <xf numFmtId="165" fontId="6" fillId="5" borderId="1" xfId="0" applyNumberFormat="1" applyFont="1" applyFill="1" applyBorder="1" applyAlignment="1">
      <alignment vertical="center"/>
    </xf>
    <xf numFmtId="0" fontId="6" fillId="0" borderId="5" xfId="0" applyFont="1" applyBorder="1" applyAlignment="1">
      <alignment vertical="top" wrapText="1"/>
    </xf>
    <xf numFmtId="165" fontId="6" fillId="0" borderId="3" xfId="1" applyNumberFormat="1" applyFont="1" applyFill="1" applyBorder="1" applyAlignment="1">
      <alignment vertical="center"/>
    </xf>
    <xf numFmtId="166" fontId="0" fillId="5" borderId="16" xfId="0" applyNumberFormat="1" applyFill="1" applyBorder="1"/>
    <xf numFmtId="2" fontId="6" fillId="0" borderId="1" xfId="0" applyNumberFormat="1"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14" fillId="2" borderId="1" xfId="0" applyFont="1" applyFill="1" applyBorder="1" applyAlignment="1">
      <alignment horizontal="center" vertical="center"/>
    </xf>
    <xf numFmtId="165" fontId="5" fillId="0" borderId="4" xfId="0" applyNumberFormat="1" applyFont="1" applyBorder="1" applyAlignment="1">
      <alignment vertical="center"/>
    </xf>
    <xf numFmtId="43" fontId="6" fillId="0" borderId="1" xfId="1" applyFont="1" applyFill="1" applyBorder="1" applyAlignment="1">
      <alignment horizontal="right" vertical="center"/>
    </xf>
    <xf numFmtId="0" fontId="5" fillId="0" borderId="3" xfId="0" applyFont="1" applyBorder="1" applyAlignment="1">
      <alignment vertical="center" wrapText="1"/>
    </xf>
    <xf numFmtId="0" fontId="5" fillId="0" borderId="10" xfId="0" applyFont="1" applyBorder="1" applyAlignment="1">
      <alignment horizontal="center" vertical="center"/>
    </xf>
    <xf numFmtId="0" fontId="6" fillId="0" borderId="14" xfId="0" applyFont="1" applyBorder="1" applyAlignment="1">
      <alignment vertical="top" wrapText="1"/>
    </xf>
    <xf numFmtId="0" fontId="5" fillId="0" borderId="7" xfId="0" applyFont="1" applyBorder="1" applyAlignment="1">
      <alignment horizontal="center" vertical="center"/>
    </xf>
    <xf numFmtId="165" fontId="6" fillId="0" borderId="4" xfId="0" applyNumberFormat="1" applyFont="1" applyBorder="1" applyAlignment="1">
      <alignment vertical="center"/>
    </xf>
    <xf numFmtId="0" fontId="6" fillId="0" borderId="7" xfId="0" applyFont="1" applyBorder="1" applyAlignment="1">
      <alignment vertical="top" wrapText="1"/>
    </xf>
    <xf numFmtId="0" fontId="5" fillId="0" borderId="3" xfId="0" applyFont="1" applyBorder="1" applyAlignment="1">
      <alignment vertical="top" wrapText="1"/>
    </xf>
    <xf numFmtId="0" fontId="4" fillId="0" borderId="0" xfId="0" applyFont="1" applyAlignment="1">
      <alignment vertical="top" wrapText="1"/>
    </xf>
    <xf numFmtId="0" fontId="14" fillId="2" borderId="10" xfId="0" applyFont="1" applyFill="1" applyBorder="1" applyAlignment="1">
      <alignment horizontal="center" vertical="center"/>
    </xf>
    <xf numFmtId="0" fontId="0" fillId="0" borderId="23" xfId="0" applyBorder="1"/>
    <xf numFmtId="0" fontId="22" fillId="0" borderId="9" xfId="0" applyFont="1" applyBorder="1"/>
    <xf numFmtId="0" fontId="6" fillId="0" borderId="1" xfId="0" applyFont="1" applyBorder="1" applyAlignment="1">
      <alignment horizontal="left" vertical="top" wrapText="1"/>
    </xf>
    <xf numFmtId="0" fontId="6" fillId="0" borderId="3" xfId="0" applyFont="1" applyBorder="1" applyAlignment="1">
      <alignment vertical="center" wrapText="1"/>
    </xf>
    <xf numFmtId="0" fontId="20" fillId="0" borderId="1" xfId="0" applyFont="1" applyBorder="1" applyAlignment="1">
      <alignment vertical="top" wrapText="1"/>
    </xf>
    <xf numFmtId="2" fontId="6" fillId="0" borderId="4" xfId="0" applyNumberFormat="1" applyFont="1" applyBorder="1" applyAlignment="1">
      <alignment vertical="center"/>
    </xf>
    <xf numFmtId="164" fontId="6" fillId="5" borderId="1" xfId="0" applyNumberFormat="1" applyFont="1" applyFill="1" applyBorder="1" applyAlignment="1">
      <alignment vertical="center"/>
    </xf>
    <xf numFmtId="0" fontId="21" fillId="0" borderId="7" xfId="0" applyFont="1" applyBorder="1" applyAlignment="1">
      <alignment vertical="top" wrapText="1"/>
    </xf>
    <xf numFmtId="165" fontId="6" fillId="6" borderId="4" xfId="0" applyNumberFormat="1" applyFont="1" applyFill="1" applyBorder="1" applyAlignment="1">
      <alignment vertical="center"/>
    </xf>
    <xf numFmtId="0" fontId="5"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25" fillId="0" borderId="1" xfId="0" applyFont="1" applyBorder="1" applyAlignment="1">
      <alignment vertical="center" wrapText="1"/>
    </xf>
    <xf numFmtId="43" fontId="22" fillId="0" borderId="1" xfId="1" applyFont="1" applyBorder="1" applyAlignment="1">
      <alignment horizontal="right" vertical="center"/>
    </xf>
    <xf numFmtId="0" fontId="24" fillId="2"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center"/>
    </xf>
    <xf numFmtId="0" fontId="15" fillId="0" borderId="0" xfId="0" applyFont="1" applyAlignment="1">
      <alignment horizontal="center"/>
    </xf>
    <xf numFmtId="0" fontId="16" fillId="0" borderId="0" xfId="0" applyFont="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3" fillId="0" borderId="1" xfId="0" applyFont="1" applyBorder="1" applyAlignment="1">
      <alignment horizontal="center" vertical="center" wrapText="1"/>
    </xf>
    <xf numFmtId="0" fontId="24" fillId="2" borderId="5"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11"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6" fillId="0" borderId="0" xfId="0" applyFont="1" applyAlignment="1">
      <alignment horizontal="center" vertical="center" wrapText="1"/>
    </xf>
    <xf numFmtId="0" fontId="14" fillId="2"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9" fillId="3" borderId="7" xfId="0" applyFont="1" applyFill="1" applyBorder="1" applyAlignment="1">
      <alignment horizontal="center" vertical="center" wrapText="1"/>
    </xf>
    <xf numFmtId="0" fontId="5" fillId="0" borderId="7" xfId="0" applyFont="1" applyBorder="1" applyAlignment="1">
      <alignment horizontal="center" vertical="center"/>
    </xf>
    <xf numFmtId="0" fontId="9" fillId="3" borderId="3" xfId="0" applyFont="1" applyFill="1" applyBorder="1" applyAlignment="1">
      <alignment horizontal="center" vertical="center" wrapText="1"/>
    </xf>
    <xf numFmtId="0" fontId="14" fillId="2" borderId="7" xfId="0" applyFont="1" applyFill="1" applyBorder="1" applyAlignment="1">
      <alignment horizontal="center" vertical="center"/>
    </xf>
    <xf numFmtId="0" fontId="13" fillId="0" borderId="3" xfId="0" applyFont="1" applyBorder="1" applyAlignment="1">
      <alignment horizontal="center" vertical="center" wrapText="1"/>
    </xf>
    <xf numFmtId="0" fontId="16" fillId="0" borderId="1" xfId="0" applyFont="1" applyBorder="1" applyAlignment="1">
      <alignment horizontal="center" vertical="center"/>
    </xf>
    <xf numFmtId="166" fontId="18" fillId="0" borderId="23" xfId="0" applyNumberFormat="1" applyFont="1" applyBorder="1" applyAlignment="1">
      <alignment horizontal="center"/>
    </xf>
    <xf numFmtId="166" fontId="0" fillId="0" borderId="24" xfId="0" applyNumberFormat="1" applyBorder="1"/>
  </cellXfs>
  <cellStyles count="4">
    <cellStyle name="Comma" xfId="1" builtinId="3"/>
    <cellStyle name="Comma [0]" xfId="2" builtinId="6"/>
    <cellStyle name="Normal" xfId="0" builtinId="0"/>
    <cellStyle name="Normal 2" xfId="3" xr:uid="{CFA2E74D-58D5-4AE2-A30E-27DE8FBB348E}"/>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84598</xdr:colOff>
      <xdr:row>1</xdr:row>
      <xdr:rowOff>62170</xdr:rowOff>
    </xdr:from>
    <xdr:to>
      <xdr:col>2</xdr:col>
      <xdr:colOff>1014290</xdr:colOff>
      <xdr:row>3</xdr:row>
      <xdr:rowOff>138232</xdr:rowOff>
    </xdr:to>
    <xdr:pic>
      <xdr:nvPicPr>
        <xdr:cNvPr id="28" name="Picture 27" descr="Icono&#10;&#10;Descripción generada automáticamente">
          <a:extLst>
            <a:ext uri="{FF2B5EF4-FFF2-40B4-BE49-F238E27FC236}">
              <a16:creationId xmlns:a16="http://schemas.microsoft.com/office/drawing/2014/main" id="{2400D58C-7E2A-B23F-39F0-B8104B145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1136" y="259997"/>
          <a:ext cx="1506077" cy="5596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84598</xdr:colOff>
      <xdr:row>1</xdr:row>
      <xdr:rowOff>62170</xdr:rowOff>
    </xdr:from>
    <xdr:to>
      <xdr:col>2</xdr:col>
      <xdr:colOff>1209675</xdr:colOff>
      <xdr:row>3</xdr:row>
      <xdr:rowOff>138232</xdr:rowOff>
    </xdr:to>
    <xdr:pic>
      <xdr:nvPicPr>
        <xdr:cNvPr id="2" name="Picture 27" descr="Icono&#10;&#10;Descripción generada automáticamente">
          <a:extLst>
            <a:ext uri="{FF2B5EF4-FFF2-40B4-BE49-F238E27FC236}">
              <a16:creationId xmlns:a16="http://schemas.microsoft.com/office/drawing/2014/main" id="{33104319-82D3-495D-92EA-611CB00F07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998" y="259020"/>
          <a:ext cx="1525127" cy="54596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84598</xdr:colOff>
      <xdr:row>1</xdr:row>
      <xdr:rowOff>62170</xdr:rowOff>
    </xdr:from>
    <xdr:to>
      <xdr:col>2</xdr:col>
      <xdr:colOff>1209675</xdr:colOff>
      <xdr:row>3</xdr:row>
      <xdr:rowOff>138232</xdr:rowOff>
    </xdr:to>
    <xdr:pic>
      <xdr:nvPicPr>
        <xdr:cNvPr id="2" name="Picture 27" descr="Icono&#10;&#10;Descripción generada automáticamente">
          <a:extLst>
            <a:ext uri="{FF2B5EF4-FFF2-40B4-BE49-F238E27FC236}">
              <a16:creationId xmlns:a16="http://schemas.microsoft.com/office/drawing/2014/main" id="{428DDFE3-8239-4A11-BC59-C2F7704FC5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998" y="259020"/>
          <a:ext cx="1525127" cy="54596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J183"/>
  <sheetViews>
    <sheetView showGridLines="0" view="pageBreakPreview" topLeftCell="B166" zoomScale="150" zoomScaleNormal="93" zoomScaleSheetLayoutView="150" workbookViewId="0">
      <selection activeCell="B168" sqref="B168:F168"/>
    </sheetView>
  </sheetViews>
  <sheetFormatPr baseColWidth="10" defaultColWidth="9.1640625" defaultRowHeight="16" x14ac:dyDescent="0.2"/>
  <cols>
    <col min="1" max="1" width="2.1640625" style="1" customWidth="1"/>
    <col min="2" max="2" width="8.1640625" style="1" customWidth="1"/>
    <col min="3" max="3" width="76.1640625" style="1" customWidth="1"/>
    <col min="4" max="4" width="12.6640625" style="20" customWidth="1"/>
    <col min="5" max="5" width="9.6640625" style="1" customWidth="1"/>
    <col min="6" max="6" width="13.6640625" style="1" customWidth="1"/>
    <col min="7" max="7" width="19.5" style="1" customWidth="1"/>
    <col min="8" max="8" width="2.1640625" style="1" customWidth="1"/>
    <col min="9" max="9" width="9.1640625" style="1"/>
    <col min="10" max="10" width="35.83203125" style="1" customWidth="1"/>
    <col min="11" max="16384" width="9.1640625" style="1"/>
  </cols>
  <sheetData>
    <row r="1" spans="1:10" x14ac:dyDescent="0.2">
      <c r="A1" s="21"/>
      <c r="B1" s="22"/>
      <c r="C1" s="22"/>
      <c r="D1" s="23"/>
      <c r="E1" s="22"/>
      <c r="F1" s="22"/>
      <c r="G1" s="22"/>
      <c r="H1" s="24"/>
    </row>
    <row r="2" spans="1:10" ht="19" x14ac:dyDescent="0.25">
      <c r="A2" s="25"/>
      <c r="B2" s="26"/>
      <c r="C2" s="108" t="s">
        <v>0</v>
      </c>
      <c r="D2" s="108"/>
      <c r="E2" s="108"/>
      <c r="F2" s="108"/>
      <c r="G2" s="108"/>
      <c r="H2" s="27"/>
    </row>
    <row r="3" spans="1:10" ht="19" x14ac:dyDescent="0.25">
      <c r="A3" s="25"/>
      <c r="B3" s="26"/>
      <c r="C3" s="108" t="s">
        <v>1</v>
      </c>
      <c r="D3" s="108"/>
      <c r="E3" s="108"/>
      <c r="F3" s="108"/>
      <c r="G3" s="108"/>
      <c r="H3" s="27"/>
    </row>
    <row r="4" spans="1:10" ht="19" x14ac:dyDescent="0.25">
      <c r="A4" s="25"/>
      <c r="B4" s="26"/>
      <c r="C4" s="108" t="s">
        <v>2</v>
      </c>
      <c r="D4" s="108"/>
      <c r="E4" s="108"/>
      <c r="F4" s="108"/>
      <c r="G4" s="108"/>
      <c r="H4" s="27"/>
    </row>
    <row r="5" spans="1:10" ht="33.75" customHeight="1" x14ac:dyDescent="0.2">
      <c r="A5" s="25"/>
      <c r="B5" s="109" t="s">
        <v>3</v>
      </c>
      <c r="C5" s="109"/>
      <c r="D5" s="109"/>
      <c r="E5" s="109"/>
      <c r="F5" s="109"/>
      <c r="G5" s="109"/>
      <c r="H5" s="27"/>
    </row>
    <row r="6" spans="1:10" x14ac:dyDescent="0.2">
      <c r="A6" s="25"/>
      <c r="B6" s="28"/>
      <c r="C6" s="28"/>
      <c r="D6" s="15"/>
      <c r="E6" s="28"/>
      <c r="F6" s="28"/>
      <c r="G6" s="29"/>
      <c r="H6" s="27"/>
    </row>
    <row r="7" spans="1:10" ht="80.25" customHeight="1" x14ac:dyDescent="0.2">
      <c r="A7" s="25"/>
      <c r="B7" s="118" t="s">
        <v>4</v>
      </c>
      <c r="C7" s="118"/>
      <c r="D7" s="118"/>
      <c r="E7" s="118"/>
      <c r="F7" s="118"/>
      <c r="G7" s="118"/>
      <c r="H7" s="27"/>
      <c r="J7" s="2"/>
    </row>
    <row r="8" spans="1:10" ht="9" customHeight="1" x14ac:dyDescent="0.2">
      <c r="A8" s="25"/>
      <c r="B8" s="119"/>
      <c r="C8" s="120"/>
      <c r="D8" s="120"/>
      <c r="E8" s="120"/>
      <c r="F8" s="120"/>
      <c r="G8" s="121"/>
      <c r="H8" s="27"/>
    </row>
    <row r="9" spans="1:10" ht="19" customHeight="1" x14ac:dyDescent="0.2">
      <c r="A9" s="25"/>
      <c r="B9" s="101" t="s">
        <v>5</v>
      </c>
      <c r="C9" s="101"/>
      <c r="D9" s="101"/>
      <c r="E9" s="101"/>
      <c r="F9" s="101"/>
      <c r="G9" s="101"/>
      <c r="H9" s="27"/>
    </row>
    <row r="10" spans="1:10" ht="21" x14ac:dyDescent="0.2">
      <c r="A10" s="25"/>
      <c r="B10" s="101" t="s">
        <v>6</v>
      </c>
      <c r="C10" s="101"/>
      <c r="D10" s="101"/>
      <c r="E10" s="101"/>
      <c r="F10" s="101"/>
      <c r="G10" s="101"/>
      <c r="H10" s="27"/>
    </row>
    <row r="11" spans="1:10" x14ac:dyDescent="0.2">
      <c r="A11" s="25"/>
      <c r="B11" s="117"/>
      <c r="C11" s="117"/>
      <c r="D11" s="117"/>
      <c r="E11" s="117"/>
      <c r="F11" s="117"/>
      <c r="G11" s="117"/>
      <c r="H11" s="27"/>
    </row>
    <row r="12" spans="1:10" x14ac:dyDescent="0.2">
      <c r="A12" s="25"/>
      <c r="B12" s="8" t="s">
        <v>7</v>
      </c>
      <c r="C12" s="8" t="s">
        <v>8</v>
      </c>
      <c r="D12" s="16" t="s">
        <v>9</v>
      </c>
      <c r="E12" s="8" t="s">
        <v>10</v>
      </c>
      <c r="F12" s="10" t="s">
        <v>11</v>
      </c>
      <c r="G12" s="10" t="s">
        <v>12</v>
      </c>
      <c r="H12" s="30"/>
    </row>
    <row r="13" spans="1:10" ht="17" x14ac:dyDescent="0.2">
      <c r="A13" s="25"/>
      <c r="B13" s="97" t="s">
        <v>13</v>
      </c>
      <c r="C13" s="45" t="s">
        <v>14</v>
      </c>
      <c r="D13" s="18">
        <v>1</v>
      </c>
      <c r="E13" s="7" t="s">
        <v>15</v>
      </c>
      <c r="F13" s="18">
        <v>500</v>
      </c>
      <c r="G13" s="94">
        <f>D13*F13</f>
        <v>500</v>
      </c>
      <c r="H13" s="30"/>
    </row>
    <row r="14" spans="1:10" ht="228" customHeight="1" x14ac:dyDescent="0.2">
      <c r="A14" s="25"/>
      <c r="B14" s="8"/>
      <c r="C14" s="44" t="s">
        <v>16</v>
      </c>
      <c r="D14" s="76"/>
      <c r="E14" s="76"/>
      <c r="F14" s="76"/>
      <c r="G14" s="76"/>
      <c r="H14" s="30"/>
    </row>
    <row r="15" spans="1:10" ht="17" x14ac:dyDescent="0.2">
      <c r="A15" s="25"/>
      <c r="B15" s="97" t="s">
        <v>17</v>
      </c>
      <c r="C15" s="45" t="s">
        <v>18</v>
      </c>
      <c r="D15" s="18">
        <v>15</v>
      </c>
      <c r="E15" s="7" t="s">
        <v>19</v>
      </c>
      <c r="F15" s="18">
        <v>40</v>
      </c>
      <c r="G15" s="94">
        <f>D15*F15</f>
        <v>600</v>
      </c>
      <c r="H15" s="30"/>
      <c r="J15" s="3"/>
    </row>
    <row r="16" spans="1:10" ht="104.25" customHeight="1" x14ac:dyDescent="0.2">
      <c r="A16" s="25"/>
      <c r="B16" s="7"/>
      <c r="C16" s="9" t="s">
        <v>20</v>
      </c>
      <c r="D16" s="76"/>
      <c r="E16" s="76"/>
      <c r="F16" s="76"/>
      <c r="G16" s="76"/>
      <c r="H16" s="30"/>
      <c r="J16" s="3"/>
    </row>
    <row r="17" spans="1:10" ht="29.5" customHeight="1" x14ac:dyDescent="0.2">
      <c r="A17" s="25"/>
      <c r="B17" s="97" t="s">
        <v>21</v>
      </c>
      <c r="C17" s="45" t="s">
        <v>22</v>
      </c>
      <c r="D17" s="18">
        <v>6</v>
      </c>
      <c r="E17" s="7" t="s">
        <v>23</v>
      </c>
      <c r="F17" s="18">
        <v>25</v>
      </c>
      <c r="G17" s="94">
        <f>D17*F17</f>
        <v>150</v>
      </c>
      <c r="H17" s="30"/>
      <c r="J17" s="3"/>
    </row>
    <row r="18" spans="1:10" ht="204" x14ac:dyDescent="0.2">
      <c r="A18" s="25"/>
      <c r="B18" s="7"/>
      <c r="C18" s="44" t="s">
        <v>24</v>
      </c>
      <c r="D18" s="76"/>
      <c r="E18" s="76"/>
      <c r="F18" s="76"/>
      <c r="G18" s="76"/>
      <c r="H18" s="30"/>
      <c r="J18" s="3"/>
    </row>
    <row r="19" spans="1:10" ht="38.5" customHeight="1" x14ac:dyDescent="0.2">
      <c r="A19" s="25"/>
      <c r="B19" s="97" t="s">
        <v>25</v>
      </c>
      <c r="C19" s="45" t="s">
        <v>26</v>
      </c>
      <c r="D19" s="18">
        <v>12</v>
      </c>
      <c r="E19" s="7" t="s">
        <v>27</v>
      </c>
      <c r="F19" s="18">
        <v>30</v>
      </c>
      <c r="G19" s="94">
        <f>D19*F19</f>
        <v>360</v>
      </c>
      <c r="H19" s="30"/>
      <c r="J19" s="3"/>
    </row>
    <row r="20" spans="1:10" ht="375.75" customHeight="1" x14ac:dyDescent="0.2">
      <c r="A20" s="25"/>
      <c r="B20" s="7"/>
      <c r="C20" s="44" t="s">
        <v>28</v>
      </c>
      <c r="D20" s="76"/>
      <c r="E20" s="76"/>
      <c r="F20" s="76"/>
      <c r="G20" s="76"/>
      <c r="H20" s="30"/>
      <c r="J20" s="3"/>
    </row>
    <row r="21" spans="1:10" ht="17" x14ac:dyDescent="0.2">
      <c r="A21" s="25"/>
      <c r="B21" s="97" t="s">
        <v>29</v>
      </c>
      <c r="C21" s="45" t="s">
        <v>30</v>
      </c>
      <c r="D21" s="18">
        <v>500</v>
      </c>
      <c r="E21" s="7" t="s">
        <v>19</v>
      </c>
      <c r="F21" s="18">
        <v>5</v>
      </c>
      <c r="G21" s="94">
        <f>D21*F21</f>
        <v>2500</v>
      </c>
      <c r="H21" s="30"/>
      <c r="J21" s="3"/>
    </row>
    <row r="22" spans="1:10" ht="215.5" customHeight="1" x14ac:dyDescent="0.2">
      <c r="A22" s="25"/>
      <c r="B22" s="7"/>
      <c r="C22" s="44" t="s">
        <v>31</v>
      </c>
      <c r="D22" s="76"/>
      <c r="E22" s="76"/>
      <c r="F22" s="76"/>
      <c r="G22" s="76"/>
      <c r="H22" s="30"/>
      <c r="J22" s="3"/>
    </row>
    <row r="23" spans="1:10" ht="29" customHeight="1" x14ac:dyDescent="0.2">
      <c r="A23" s="25"/>
      <c r="B23" s="97" t="s">
        <v>32</v>
      </c>
      <c r="C23" s="99" t="s">
        <v>33</v>
      </c>
      <c r="D23" s="78">
        <v>4</v>
      </c>
      <c r="E23" s="7" t="s">
        <v>23</v>
      </c>
      <c r="F23" s="18">
        <v>50</v>
      </c>
      <c r="G23" s="94">
        <f>D23*F23</f>
        <v>200</v>
      </c>
      <c r="H23" s="30"/>
      <c r="J23" s="3"/>
    </row>
    <row r="24" spans="1:10" ht="204" x14ac:dyDescent="0.2">
      <c r="A24" s="25"/>
      <c r="B24" s="7"/>
      <c r="C24" s="44" t="s">
        <v>34</v>
      </c>
      <c r="D24" s="76"/>
      <c r="E24" s="76"/>
      <c r="F24" s="76"/>
      <c r="G24" s="76"/>
      <c r="H24" s="30"/>
      <c r="J24" s="3"/>
    </row>
    <row r="25" spans="1:10" ht="17" x14ac:dyDescent="0.2">
      <c r="A25" s="25"/>
      <c r="B25" s="97" t="s">
        <v>35</v>
      </c>
      <c r="C25" s="45" t="s">
        <v>36</v>
      </c>
      <c r="D25" s="18">
        <f>(3.5+2.5+5.3+2+4+5.2+4+4+2.5+2)*3.5-4*2</f>
        <v>114.5</v>
      </c>
      <c r="E25" s="7" t="s">
        <v>19</v>
      </c>
      <c r="F25" s="18">
        <v>15</v>
      </c>
      <c r="G25" s="94">
        <f>D25*F25</f>
        <v>1717.5</v>
      </c>
      <c r="H25" s="30"/>
      <c r="J25" s="3"/>
    </row>
    <row r="26" spans="1:10" ht="318.5" customHeight="1" x14ac:dyDescent="0.2">
      <c r="A26" s="25"/>
      <c r="B26" s="7"/>
      <c r="C26" s="44" t="s">
        <v>37</v>
      </c>
      <c r="D26" s="76"/>
      <c r="E26" s="76"/>
      <c r="F26" s="76"/>
      <c r="G26" s="76"/>
      <c r="H26" s="30"/>
      <c r="J26" s="3"/>
    </row>
    <row r="27" spans="1:10" ht="40" customHeight="1" x14ac:dyDescent="0.2">
      <c r="A27" s="25"/>
      <c r="B27" s="97" t="s">
        <v>38</v>
      </c>
      <c r="C27" s="47" t="s">
        <v>39</v>
      </c>
      <c r="D27" s="18">
        <v>2</v>
      </c>
      <c r="E27" s="7" t="s">
        <v>23</v>
      </c>
      <c r="F27" s="18">
        <v>200</v>
      </c>
      <c r="G27" s="94">
        <f>D27*F27</f>
        <v>400</v>
      </c>
      <c r="H27" s="30"/>
      <c r="J27" s="3"/>
    </row>
    <row r="28" spans="1:10" ht="226.5" customHeight="1" x14ac:dyDescent="0.2">
      <c r="A28" s="25"/>
      <c r="B28" s="7"/>
      <c r="C28" s="44" t="s">
        <v>40</v>
      </c>
      <c r="D28" s="76"/>
      <c r="E28" s="76"/>
      <c r="F28" s="76"/>
      <c r="G28" s="76"/>
      <c r="H28" s="30"/>
      <c r="J28" s="3"/>
    </row>
    <row r="29" spans="1:10" ht="34" x14ac:dyDescent="0.2">
      <c r="A29" s="25"/>
      <c r="B29" s="97" t="s">
        <v>41</v>
      </c>
      <c r="C29" s="47" t="s">
        <v>42</v>
      </c>
      <c r="D29" s="18">
        <v>1</v>
      </c>
      <c r="E29" s="7" t="s">
        <v>15</v>
      </c>
      <c r="F29" s="18">
        <v>300</v>
      </c>
      <c r="G29" s="94">
        <f t="shared" ref="G29" si="0">D29*F29</f>
        <v>300</v>
      </c>
      <c r="H29" s="30"/>
      <c r="J29" s="3"/>
    </row>
    <row r="30" spans="1:10" ht="255" x14ac:dyDescent="0.2">
      <c r="A30" s="25"/>
      <c r="B30" s="7"/>
      <c r="C30" s="44" t="s">
        <v>43</v>
      </c>
      <c r="D30" s="76"/>
      <c r="E30" s="76"/>
      <c r="F30" s="76"/>
      <c r="G30" s="76"/>
      <c r="H30" s="30"/>
      <c r="J30" s="3"/>
    </row>
    <row r="31" spans="1:10" ht="17" x14ac:dyDescent="0.2">
      <c r="A31" s="25"/>
      <c r="B31" s="7" t="s">
        <v>44</v>
      </c>
      <c r="C31" s="45" t="s">
        <v>45</v>
      </c>
      <c r="D31" s="76"/>
      <c r="E31" s="76"/>
      <c r="F31" s="76"/>
      <c r="G31" s="76"/>
      <c r="H31" s="30"/>
      <c r="J31" s="3"/>
    </row>
    <row r="32" spans="1:10" ht="34.5" customHeight="1" x14ac:dyDescent="0.2">
      <c r="A32" s="25"/>
      <c r="B32" s="97" t="s">
        <v>46</v>
      </c>
      <c r="C32" s="45" t="s">
        <v>47</v>
      </c>
      <c r="D32" s="18">
        <v>25</v>
      </c>
      <c r="E32" s="7" t="s">
        <v>19</v>
      </c>
      <c r="F32" s="18">
        <v>75</v>
      </c>
      <c r="G32" s="94">
        <f>D32*F32</f>
        <v>1875</v>
      </c>
      <c r="H32" s="30"/>
      <c r="J32" s="3"/>
    </row>
    <row r="33" spans="1:10" ht="204" x14ac:dyDescent="0.2">
      <c r="A33" s="25"/>
      <c r="B33" s="7"/>
      <c r="C33" s="44" t="s">
        <v>48</v>
      </c>
      <c r="D33" s="76"/>
      <c r="E33" s="76"/>
      <c r="F33" s="76"/>
      <c r="G33" s="76"/>
      <c r="H33" s="30"/>
      <c r="J33" s="3"/>
    </row>
    <row r="34" spans="1:10" ht="34" x14ac:dyDescent="0.2">
      <c r="A34" s="25"/>
      <c r="B34" s="98" t="s">
        <v>49</v>
      </c>
      <c r="C34" s="45" t="s">
        <v>50</v>
      </c>
      <c r="D34" s="18">
        <v>1</v>
      </c>
      <c r="E34" s="7" t="s">
        <v>15</v>
      </c>
      <c r="F34" s="18">
        <v>750</v>
      </c>
      <c r="G34" s="94">
        <f>D34*F34</f>
        <v>750</v>
      </c>
      <c r="H34" s="30"/>
      <c r="J34" s="3"/>
    </row>
    <row r="35" spans="1:10" ht="238" x14ac:dyDescent="0.2">
      <c r="A35" s="25"/>
      <c r="B35" s="7"/>
      <c r="C35" s="44" t="s">
        <v>51</v>
      </c>
      <c r="D35" s="76"/>
      <c r="E35" s="76"/>
      <c r="F35" s="76"/>
      <c r="G35" s="76"/>
      <c r="H35" s="30"/>
      <c r="J35" s="3"/>
    </row>
    <row r="36" spans="1:10" ht="34" x14ac:dyDescent="0.2">
      <c r="A36" s="89"/>
      <c r="B36" s="98" t="s">
        <v>52</v>
      </c>
      <c r="C36" s="45" t="s">
        <v>53</v>
      </c>
      <c r="D36" s="18">
        <v>1</v>
      </c>
      <c r="E36" s="7" t="s">
        <v>15</v>
      </c>
      <c r="F36" s="18">
        <v>750</v>
      </c>
      <c r="G36" s="94">
        <f>D36*F36</f>
        <v>750</v>
      </c>
      <c r="H36" s="30"/>
      <c r="J36" s="3"/>
    </row>
    <row r="37" spans="1:10" ht="272" x14ac:dyDescent="0.2">
      <c r="A37" s="89"/>
      <c r="B37" s="7"/>
      <c r="C37" s="44" t="s">
        <v>54</v>
      </c>
      <c r="D37" s="76"/>
      <c r="E37" s="76"/>
      <c r="F37" s="76"/>
      <c r="G37" s="76"/>
      <c r="H37" s="30"/>
      <c r="J37" s="3"/>
    </row>
    <row r="38" spans="1:10" ht="43.5" customHeight="1" x14ac:dyDescent="0.2">
      <c r="A38" s="25"/>
      <c r="B38" s="98" t="s">
        <v>55</v>
      </c>
      <c r="C38" s="45" t="s">
        <v>56</v>
      </c>
      <c r="D38" s="18">
        <v>3</v>
      </c>
      <c r="E38" s="7" t="s">
        <v>23</v>
      </c>
      <c r="F38" s="18">
        <v>300</v>
      </c>
      <c r="G38" s="94">
        <f>D38*F38</f>
        <v>900</v>
      </c>
      <c r="H38" s="30"/>
      <c r="J38" s="3"/>
    </row>
    <row r="39" spans="1:10" ht="210.5" customHeight="1" x14ac:dyDescent="0.2">
      <c r="A39" s="25"/>
      <c r="B39" s="7"/>
      <c r="C39" s="44" t="s">
        <v>57</v>
      </c>
      <c r="D39" s="76"/>
      <c r="E39" s="76"/>
      <c r="F39" s="76"/>
      <c r="G39" s="76"/>
      <c r="H39" s="30"/>
      <c r="J39" s="3"/>
    </row>
    <row r="40" spans="1:10" x14ac:dyDescent="0.2">
      <c r="A40" s="25"/>
      <c r="B40" s="97" t="s">
        <v>58</v>
      </c>
      <c r="C40" s="46" t="s">
        <v>59</v>
      </c>
      <c r="D40" s="18">
        <f>45+40+3+5.5+4.5+10.5</f>
        <v>108.5</v>
      </c>
      <c r="E40" s="7" t="s">
        <v>19</v>
      </c>
      <c r="F40" s="18">
        <v>6</v>
      </c>
      <c r="G40" s="94">
        <f t="shared" ref="G40" si="1">D40*F40</f>
        <v>651</v>
      </c>
      <c r="H40" s="30"/>
      <c r="J40" s="3"/>
    </row>
    <row r="41" spans="1:10" ht="153" x14ac:dyDescent="0.2">
      <c r="A41" s="25"/>
      <c r="B41" s="7"/>
      <c r="C41" s="44" t="s">
        <v>60</v>
      </c>
      <c r="D41" s="76"/>
      <c r="E41" s="76"/>
      <c r="F41" s="76"/>
      <c r="G41" s="76"/>
      <c r="H41" s="30"/>
      <c r="J41" s="3"/>
    </row>
    <row r="42" spans="1:10" ht="33" customHeight="1" x14ac:dyDescent="0.2">
      <c r="A42" s="25"/>
      <c r="B42" s="97" t="s">
        <v>61</v>
      </c>
      <c r="C42" s="45" t="s">
        <v>62</v>
      </c>
      <c r="D42" s="18">
        <v>1</v>
      </c>
      <c r="E42" s="7" t="s">
        <v>15</v>
      </c>
      <c r="F42" s="18">
        <v>800</v>
      </c>
      <c r="G42" s="94">
        <f t="shared" ref="G42" si="2">D42*F42</f>
        <v>800</v>
      </c>
      <c r="H42" s="30"/>
      <c r="J42" s="3"/>
    </row>
    <row r="43" spans="1:10" ht="313" customHeight="1" x14ac:dyDescent="0.2">
      <c r="A43" s="25"/>
      <c r="B43" s="7"/>
      <c r="C43" s="44" t="s">
        <v>63</v>
      </c>
      <c r="D43" s="76"/>
      <c r="E43" s="76"/>
      <c r="F43" s="76"/>
      <c r="G43" s="76"/>
      <c r="H43" s="30"/>
      <c r="J43" s="3"/>
    </row>
    <row r="44" spans="1:10" ht="17" x14ac:dyDescent="0.2">
      <c r="A44" s="25"/>
      <c r="B44" s="97" t="s">
        <v>64</v>
      </c>
      <c r="C44" s="45" t="s">
        <v>65</v>
      </c>
      <c r="D44" s="18">
        <v>1</v>
      </c>
      <c r="E44" s="7" t="s">
        <v>15</v>
      </c>
      <c r="F44" s="18">
        <v>500</v>
      </c>
      <c r="G44" s="94">
        <f t="shared" ref="G44" si="3">D44*F44</f>
        <v>500</v>
      </c>
      <c r="H44" s="30"/>
      <c r="J44" s="3"/>
    </row>
    <row r="45" spans="1:10" ht="383.25" customHeight="1" x14ac:dyDescent="0.2">
      <c r="A45" s="25"/>
      <c r="B45" s="7"/>
      <c r="C45" s="9" t="s">
        <v>66</v>
      </c>
      <c r="D45" s="76"/>
      <c r="E45" s="76"/>
      <c r="F45" s="76"/>
      <c r="G45" s="76"/>
      <c r="H45" s="30"/>
      <c r="J45" s="3"/>
    </row>
    <row r="46" spans="1:10" ht="21" customHeight="1" x14ac:dyDescent="0.2">
      <c r="A46" s="25"/>
      <c r="B46" s="97" t="s">
        <v>67</v>
      </c>
      <c r="C46" s="45" t="s">
        <v>68</v>
      </c>
      <c r="D46" s="18">
        <v>100</v>
      </c>
      <c r="E46" s="7" t="s">
        <v>23</v>
      </c>
      <c r="F46" s="18">
        <v>25</v>
      </c>
      <c r="G46" s="94">
        <f>D46*F46</f>
        <v>2500</v>
      </c>
      <c r="H46" s="30"/>
      <c r="J46" s="3"/>
    </row>
    <row r="47" spans="1:10" ht="297" customHeight="1" x14ac:dyDescent="0.2">
      <c r="A47" s="25"/>
      <c r="B47" s="7"/>
      <c r="C47" s="44" t="s">
        <v>69</v>
      </c>
      <c r="D47" s="76"/>
      <c r="E47" s="76"/>
      <c r="F47" s="76"/>
      <c r="G47" s="76"/>
      <c r="H47" s="30"/>
      <c r="J47" s="3"/>
    </row>
    <row r="48" spans="1:10" ht="31.5" customHeight="1" x14ac:dyDescent="0.2">
      <c r="A48" s="25"/>
      <c r="B48" s="97" t="s">
        <v>70</v>
      </c>
      <c r="C48" s="45" t="s">
        <v>71</v>
      </c>
      <c r="D48" s="18">
        <v>4</v>
      </c>
      <c r="E48" s="7" t="s">
        <v>23</v>
      </c>
      <c r="F48" s="18">
        <v>100</v>
      </c>
      <c r="G48" s="94">
        <f>D48*F48</f>
        <v>400</v>
      </c>
      <c r="H48" s="30"/>
      <c r="J48" s="3"/>
    </row>
    <row r="49" spans="1:10" ht="272" x14ac:dyDescent="0.2">
      <c r="A49" s="25"/>
      <c r="B49" s="7"/>
      <c r="C49" s="9" t="s">
        <v>72</v>
      </c>
      <c r="D49" s="76"/>
      <c r="E49" s="76"/>
      <c r="F49" s="76"/>
      <c r="G49" s="76"/>
      <c r="H49" s="30"/>
      <c r="J49" s="3"/>
    </row>
    <row r="50" spans="1:10" ht="34" x14ac:dyDescent="0.2">
      <c r="A50" s="25"/>
      <c r="B50" s="98" t="s">
        <v>73</v>
      </c>
      <c r="C50" s="45" t="s">
        <v>74</v>
      </c>
      <c r="D50" s="18">
        <v>2</v>
      </c>
      <c r="E50" s="7" t="s">
        <v>23</v>
      </c>
      <c r="F50" s="18">
        <v>300</v>
      </c>
      <c r="G50" s="94">
        <f t="shared" ref="G50" si="4">D50*F50</f>
        <v>600</v>
      </c>
      <c r="H50" s="30"/>
      <c r="J50" s="3"/>
    </row>
    <row r="51" spans="1:10" ht="374.5" customHeight="1" x14ac:dyDescent="0.2">
      <c r="A51" s="25"/>
      <c r="B51" s="7"/>
      <c r="C51" s="44" t="s">
        <v>75</v>
      </c>
      <c r="D51" s="76"/>
      <c r="E51" s="76"/>
      <c r="F51" s="76"/>
      <c r="G51" s="76"/>
      <c r="H51" s="30"/>
      <c r="J51" s="3"/>
    </row>
    <row r="52" spans="1:10" ht="17" x14ac:dyDescent="0.2">
      <c r="A52" s="25"/>
      <c r="B52" s="98" t="s">
        <v>76</v>
      </c>
      <c r="C52" s="45" t="s">
        <v>77</v>
      </c>
      <c r="D52" s="18">
        <v>7</v>
      </c>
      <c r="E52" s="7" t="s">
        <v>23</v>
      </c>
      <c r="F52" s="18">
        <v>100</v>
      </c>
      <c r="G52" s="94">
        <f t="shared" ref="G52" si="5">D52*F52</f>
        <v>700</v>
      </c>
      <c r="H52" s="30"/>
      <c r="J52" s="3"/>
    </row>
    <row r="53" spans="1:10" ht="323" x14ac:dyDescent="0.2">
      <c r="A53" s="25"/>
      <c r="B53" s="7"/>
      <c r="C53" s="44" t="s">
        <v>78</v>
      </c>
      <c r="D53" s="76"/>
      <c r="E53" s="76"/>
      <c r="F53" s="76"/>
      <c r="G53" s="76"/>
      <c r="H53" s="30"/>
      <c r="J53" s="3"/>
    </row>
    <row r="54" spans="1:10" x14ac:dyDescent="0.2">
      <c r="A54" s="25"/>
      <c r="B54" s="110" t="s">
        <v>79</v>
      </c>
      <c r="C54" s="111"/>
      <c r="D54" s="111"/>
      <c r="E54" s="111"/>
      <c r="F54" s="112"/>
      <c r="G54" s="94">
        <f>SUM(G13:G53)</f>
        <v>17153.5</v>
      </c>
      <c r="H54" s="32"/>
    </row>
    <row r="55" spans="1:10" x14ac:dyDescent="0.2">
      <c r="A55" s="25"/>
      <c r="B55" s="113"/>
      <c r="C55" s="113"/>
      <c r="D55" s="113"/>
      <c r="E55" s="113"/>
      <c r="F55" s="113"/>
      <c r="G55" s="113"/>
      <c r="H55" s="27"/>
    </row>
    <row r="56" spans="1:10" ht="19" customHeight="1" x14ac:dyDescent="0.2">
      <c r="A56" s="25"/>
      <c r="B56" s="114" t="s">
        <v>5</v>
      </c>
      <c r="C56" s="115"/>
      <c r="D56" s="115"/>
      <c r="E56" s="115"/>
      <c r="F56" s="115"/>
      <c r="G56" s="116"/>
      <c r="H56" s="27"/>
    </row>
    <row r="57" spans="1:10" ht="19" customHeight="1" x14ac:dyDescent="0.2">
      <c r="A57" s="25"/>
      <c r="B57" s="101" t="s">
        <v>80</v>
      </c>
      <c r="C57" s="101"/>
      <c r="D57" s="101"/>
      <c r="E57" s="101"/>
      <c r="F57" s="101"/>
      <c r="G57" s="101"/>
      <c r="H57" s="27"/>
    </row>
    <row r="58" spans="1:10" x14ac:dyDescent="0.2">
      <c r="A58" s="25"/>
      <c r="B58" s="8" t="s">
        <v>7</v>
      </c>
      <c r="C58" s="8" t="s">
        <v>8</v>
      </c>
      <c r="D58" s="16" t="s">
        <v>9</v>
      </c>
      <c r="E58" s="8" t="s">
        <v>10</v>
      </c>
      <c r="F58" s="10" t="s">
        <v>11</v>
      </c>
      <c r="G58" s="10" t="s">
        <v>12</v>
      </c>
      <c r="H58" s="27"/>
    </row>
    <row r="59" spans="1:10" ht="17" x14ac:dyDescent="0.2">
      <c r="A59" s="25"/>
      <c r="B59" s="98" t="s">
        <v>81</v>
      </c>
      <c r="C59" s="45" t="s">
        <v>82</v>
      </c>
      <c r="D59" s="18">
        <v>200</v>
      </c>
      <c r="E59" s="7" t="s">
        <v>19</v>
      </c>
      <c r="F59" s="18">
        <v>2</v>
      </c>
      <c r="G59" s="94">
        <f>D59*F59</f>
        <v>400</v>
      </c>
      <c r="H59" s="27"/>
    </row>
    <row r="60" spans="1:10" ht="212.5" customHeight="1" x14ac:dyDescent="0.2">
      <c r="A60" s="25"/>
      <c r="B60" s="7"/>
      <c r="C60" s="44" t="s">
        <v>83</v>
      </c>
      <c r="D60" s="76"/>
      <c r="E60" s="76"/>
      <c r="F60" s="76"/>
      <c r="G60" s="76"/>
      <c r="H60" s="27"/>
    </row>
    <row r="61" spans="1:10" ht="29.5" customHeight="1" x14ac:dyDescent="0.2">
      <c r="A61" s="25"/>
      <c r="B61" s="7" t="s">
        <v>84</v>
      </c>
      <c r="C61" s="45" t="s">
        <v>85</v>
      </c>
      <c r="D61" s="76"/>
      <c r="E61" s="76"/>
      <c r="F61" s="76"/>
      <c r="G61" s="76"/>
      <c r="H61" s="27"/>
    </row>
    <row r="62" spans="1:10" ht="183.5" customHeight="1" x14ac:dyDescent="0.2">
      <c r="A62" s="25"/>
      <c r="B62" s="7"/>
      <c r="C62" s="9" t="s">
        <v>86</v>
      </c>
      <c r="D62" s="76"/>
      <c r="E62" s="76"/>
      <c r="F62" s="76"/>
      <c r="G62" s="76"/>
      <c r="H62" s="27"/>
    </row>
    <row r="63" spans="1:10" ht="17" x14ac:dyDescent="0.2">
      <c r="A63" s="25"/>
      <c r="B63" s="7" t="s">
        <v>87</v>
      </c>
      <c r="C63" s="44" t="s">
        <v>88</v>
      </c>
      <c r="D63" s="18">
        <v>10</v>
      </c>
      <c r="E63" s="7" t="s">
        <v>23</v>
      </c>
      <c r="F63" s="18">
        <v>50</v>
      </c>
      <c r="G63" s="94">
        <f t="shared" ref="G63:G64" si="6">D63*F63</f>
        <v>500</v>
      </c>
      <c r="H63" s="27"/>
    </row>
    <row r="64" spans="1:10" ht="17" x14ac:dyDescent="0.2">
      <c r="A64" s="25"/>
      <c r="B64" s="7" t="s">
        <v>89</v>
      </c>
      <c r="C64" s="44" t="s">
        <v>90</v>
      </c>
      <c r="D64" s="18">
        <v>19</v>
      </c>
      <c r="E64" s="7" t="s">
        <v>23</v>
      </c>
      <c r="F64" s="18">
        <v>50</v>
      </c>
      <c r="G64" s="94">
        <f t="shared" si="6"/>
        <v>950</v>
      </c>
      <c r="H64" s="27"/>
    </row>
    <row r="65" spans="1:8" ht="17" x14ac:dyDescent="0.2">
      <c r="A65" s="25"/>
      <c r="B65" s="7" t="s">
        <v>91</v>
      </c>
      <c r="C65" s="45" t="s">
        <v>92</v>
      </c>
      <c r="D65" s="76"/>
      <c r="E65" s="76"/>
      <c r="F65" s="76"/>
      <c r="G65" s="76"/>
      <c r="H65" s="27"/>
    </row>
    <row r="66" spans="1:8" ht="85" x14ac:dyDescent="0.2">
      <c r="A66" s="25"/>
      <c r="B66" s="7"/>
      <c r="C66" s="44" t="s">
        <v>93</v>
      </c>
      <c r="D66" s="76"/>
      <c r="E66" s="76"/>
      <c r="F66" s="76"/>
      <c r="G66" s="76"/>
      <c r="H66" s="27"/>
    </row>
    <row r="67" spans="1:8" ht="17" x14ac:dyDescent="0.2">
      <c r="A67" s="25"/>
      <c r="B67" s="7" t="s">
        <v>94</v>
      </c>
      <c r="C67" s="44" t="s">
        <v>95</v>
      </c>
      <c r="D67" s="18">
        <v>1</v>
      </c>
      <c r="E67" s="7" t="s">
        <v>23</v>
      </c>
      <c r="F67" s="18">
        <v>50</v>
      </c>
      <c r="G67" s="94">
        <v>50</v>
      </c>
      <c r="H67" s="27"/>
    </row>
    <row r="68" spans="1:8" ht="17" x14ac:dyDescent="0.2">
      <c r="A68" s="25"/>
      <c r="B68" s="7" t="s">
        <v>96</v>
      </c>
      <c r="C68" s="44" t="s">
        <v>97</v>
      </c>
      <c r="D68" s="18">
        <v>5</v>
      </c>
      <c r="E68" s="7" t="s">
        <v>23</v>
      </c>
      <c r="F68" s="18">
        <v>40</v>
      </c>
      <c r="G68" s="94">
        <v>200</v>
      </c>
      <c r="H68" s="27"/>
    </row>
    <row r="69" spans="1:8" ht="17" x14ac:dyDescent="0.2">
      <c r="A69" s="25"/>
      <c r="B69" s="7" t="s">
        <v>98</v>
      </c>
      <c r="C69" s="44" t="s">
        <v>99</v>
      </c>
      <c r="D69" s="18">
        <v>2</v>
      </c>
      <c r="E69" s="7" t="s">
        <v>23</v>
      </c>
      <c r="F69" s="18">
        <v>20</v>
      </c>
      <c r="G69" s="94">
        <v>40</v>
      </c>
      <c r="H69" s="27"/>
    </row>
    <row r="70" spans="1:8" ht="17" x14ac:dyDescent="0.2">
      <c r="A70" s="25"/>
      <c r="B70" s="7" t="s">
        <v>100</v>
      </c>
      <c r="C70" s="45" t="s">
        <v>101</v>
      </c>
      <c r="D70" s="18">
        <f>(4+6.5+4.5+7.5+1+3.2+2.5+7.2+2.2+2.2+2.2+10+3.6+3.5+4.2+2.2+1+3.1+2.5+10+12+3.6+3.6+7.5+2.8+4+4)*3-26*2.2*1.1+4.1</f>
        <v>302.97999999999996</v>
      </c>
      <c r="E70" s="7" t="s">
        <v>19</v>
      </c>
      <c r="F70" s="18">
        <v>15</v>
      </c>
      <c r="G70" s="94">
        <f t="shared" ref="G70" si="7">D70*F70</f>
        <v>4544.7</v>
      </c>
      <c r="H70" s="27"/>
    </row>
    <row r="71" spans="1:8" ht="291.5" customHeight="1" x14ac:dyDescent="0.2">
      <c r="A71" s="25"/>
      <c r="B71" s="7"/>
      <c r="C71" s="44" t="s">
        <v>102</v>
      </c>
      <c r="D71" s="76"/>
      <c r="E71" s="76"/>
      <c r="F71" s="76"/>
      <c r="G71" s="76"/>
      <c r="H71" s="27"/>
    </row>
    <row r="72" spans="1:8" ht="17" x14ac:dyDescent="0.2">
      <c r="A72" s="25"/>
      <c r="B72" s="98" t="s">
        <v>103</v>
      </c>
      <c r="C72" s="45" t="s">
        <v>104</v>
      </c>
      <c r="D72" s="18">
        <f>(4.2+4.2+2.8+2.6+1.8+9+3.6+3.6+3.3+10)*3</f>
        <v>135.30000000000001</v>
      </c>
      <c r="E72" s="7" t="s">
        <v>19</v>
      </c>
      <c r="F72" s="18">
        <v>10</v>
      </c>
      <c r="G72" s="94">
        <f t="shared" ref="G72" si="8">D72*F72</f>
        <v>1353</v>
      </c>
      <c r="H72" s="27"/>
    </row>
    <row r="73" spans="1:8" ht="204" x14ac:dyDescent="0.2">
      <c r="A73" s="25"/>
      <c r="B73" s="7"/>
      <c r="C73" s="44" t="s">
        <v>105</v>
      </c>
      <c r="D73" s="76"/>
      <c r="E73" s="76"/>
      <c r="F73" s="76"/>
      <c r="G73" s="76"/>
      <c r="H73" s="27"/>
    </row>
    <row r="74" spans="1:8" ht="17" x14ac:dyDescent="0.2">
      <c r="A74" s="25"/>
      <c r="B74" s="98" t="s">
        <v>106</v>
      </c>
      <c r="C74" s="47" t="s">
        <v>107</v>
      </c>
      <c r="D74" s="18">
        <f>(2.5+3.2+3.5+1)*2.6+2.6</f>
        <v>29.12</v>
      </c>
      <c r="E74" s="7" t="s">
        <v>19</v>
      </c>
      <c r="F74" s="18">
        <v>50</v>
      </c>
      <c r="G74" s="94">
        <f t="shared" ref="G74" si="9">D74*F74</f>
        <v>1456</v>
      </c>
      <c r="H74" s="27"/>
    </row>
    <row r="75" spans="1:8" ht="340.5" customHeight="1" x14ac:dyDescent="0.2">
      <c r="A75" s="25"/>
      <c r="B75" s="7"/>
      <c r="C75" s="44" t="s">
        <v>108</v>
      </c>
      <c r="D75" s="76"/>
      <c r="E75" s="76"/>
      <c r="F75" s="76"/>
      <c r="G75" s="76"/>
      <c r="H75" s="27"/>
    </row>
    <row r="76" spans="1:8" ht="17" x14ac:dyDescent="0.2">
      <c r="A76" s="25"/>
      <c r="B76" s="98" t="s">
        <v>109</v>
      </c>
      <c r="C76" s="45" t="s">
        <v>110</v>
      </c>
      <c r="D76" s="18">
        <v>3</v>
      </c>
      <c r="E76" s="7" t="s">
        <v>15</v>
      </c>
      <c r="F76" s="18">
        <v>100</v>
      </c>
      <c r="G76" s="94">
        <f t="shared" ref="G76" si="10">D76*F76</f>
        <v>300</v>
      </c>
      <c r="H76" s="27"/>
    </row>
    <row r="77" spans="1:8" ht="222" customHeight="1" x14ac:dyDescent="0.2">
      <c r="A77" s="25"/>
      <c r="B77" s="7"/>
      <c r="C77" s="44" t="s">
        <v>111</v>
      </c>
      <c r="D77" s="76"/>
      <c r="E77" s="76"/>
      <c r="F77" s="76"/>
      <c r="G77" s="76"/>
      <c r="H77" s="27"/>
    </row>
    <row r="78" spans="1:8" ht="17" x14ac:dyDescent="0.2">
      <c r="A78" s="25"/>
      <c r="B78" s="98" t="s">
        <v>112</v>
      </c>
      <c r="C78" s="45" t="s">
        <v>113</v>
      </c>
      <c r="D78" s="18">
        <f>60*2.5</f>
        <v>150</v>
      </c>
      <c r="E78" s="7" t="s">
        <v>19</v>
      </c>
      <c r="F78" s="18">
        <v>5</v>
      </c>
      <c r="G78" s="94">
        <f t="shared" ref="G78" si="11">D78*F78</f>
        <v>750</v>
      </c>
      <c r="H78" s="27"/>
    </row>
    <row r="79" spans="1:8" ht="187" x14ac:dyDescent="0.2">
      <c r="A79" s="25"/>
      <c r="B79" s="7"/>
      <c r="C79" s="44" t="s">
        <v>114</v>
      </c>
      <c r="D79" s="76"/>
      <c r="E79" s="76"/>
      <c r="F79" s="76"/>
      <c r="G79" s="76"/>
      <c r="H79" s="27"/>
    </row>
    <row r="80" spans="1:8" x14ac:dyDescent="0.2">
      <c r="A80" s="25"/>
      <c r="B80" s="7" t="s">
        <v>115</v>
      </c>
      <c r="C80" s="46" t="s">
        <v>116</v>
      </c>
      <c r="D80" s="76"/>
      <c r="E80" s="76"/>
      <c r="F80" s="76"/>
      <c r="G80" s="76"/>
      <c r="H80" s="27"/>
    </row>
    <row r="81" spans="1:10" x14ac:dyDescent="0.2">
      <c r="A81" s="25"/>
      <c r="B81" s="98" t="s">
        <v>117</v>
      </c>
      <c r="C81" s="46" t="s">
        <v>118</v>
      </c>
      <c r="D81" s="100">
        <f>15+140</f>
        <v>155</v>
      </c>
      <c r="E81" s="7" t="s">
        <v>19</v>
      </c>
      <c r="F81" s="18">
        <v>6</v>
      </c>
      <c r="G81" s="94">
        <f t="shared" ref="G81:G83" si="12">D81*F81</f>
        <v>930</v>
      </c>
      <c r="H81" s="27"/>
    </row>
    <row r="82" spans="1:10" ht="173" customHeight="1" x14ac:dyDescent="0.2">
      <c r="A82" s="25"/>
      <c r="B82" s="7"/>
      <c r="C82" s="44" t="s">
        <v>119</v>
      </c>
      <c r="D82" s="76"/>
      <c r="E82" s="76"/>
      <c r="F82" s="76"/>
      <c r="G82" s="76"/>
      <c r="H82" s="27"/>
    </row>
    <row r="83" spans="1:10" x14ac:dyDescent="0.2">
      <c r="A83" s="25"/>
      <c r="B83" s="98" t="s">
        <v>120</v>
      </c>
      <c r="C83" s="46" t="s">
        <v>121</v>
      </c>
      <c r="D83" s="18">
        <v>20</v>
      </c>
      <c r="E83" s="7" t="s">
        <v>19</v>
      </c>
      <c r="F83" s="18">
        <v>20</v>
      </c>
      <c r="G83" s="94">
        <f t="shared" si="12"/>
        <v>400</v>
      </c>
      <c r="H83" s="27"/>
    </row>
    <row r="84" spans="1:10" ht="277.5" customHeight="1" x14ac:dyDescent="0.2">
      <c r="A84" s="25"/>
      <c r="B84" s="7"/>
      <c r="C84" s="44" t="s">
        <v>122</v>
      </c>
      <c r="D84" s="76"/>
      <c r="E84" s="76"/>
      <c r="F84" s="76"/>
      <c r="G84" s="76"/>
      <c r="H84" s="27"/>
    </row>
    <row r="85" spans="1:10" ht="34" x14ac:dyDescent="0.2">
      <c r="A85" s="25"/>
      <c r="B85" s="7" t="s">
        <v>123</v>
      </c>
      <c r="C85" s="45" t="s">
        <v>124</v>
      </c>
      <c r="D85" s="18">
        <v>30</v>
      </c>
      <c r="E85" s="7" t="s">
        <v>19</v>
      </c>
      <c r="F85" s="18">
        <v>5</v>
      </c>
      <c r="G85" s="94">
        <f t="shared" ref="G85" si="13">D85*F85</f>
        <v>150</v>
      </c>
      <c r="H85" s="27"/>
    </row>
    <row r="86" spans="1:10" ht="215" customHeight="1" x14ac:dyDescent="0.2">
      <c r="A86" s="25"/>
      <c r="B86" s="7"/>
      <c r="C86" s="44" t="s">
        <v>125</v>
      </c>
      <c r="D86" s="76"/>
      <c r="E86" s="76"/>
      <c r="F86" s="76"/>
      <c r="G86" s="76"/>
      <c r="H86" s="27"/>
    </row>
    <row r="87" spans="1:10" ht="34" x14ac:dyDescent="0.2">
      <c r="A87" s="25"/>
      <c r="B87" s="98" t="s">
        <v>126</v>
      </c>
      <c r="C87" s="45" t="s">
        <v>127</v>
      </c>
      <c r="D87" s="18">
        <v>440</v>
      </c>
      <c r="E87" s="7" t="s">
        <v>19</v>
      </c>
      <c r="F87" s="18">
        <v>15</v>
      </c>
      <c r="G87" s="94">
        <f t="shared" ref="G87" si="14">D87*F87</f>
        <v>6600</v>
      </c>
      <c r="H87" s="27"/>
    </row>
    <row r="88" spans="1:10" ht="166.5" customHeight="1" x14ac:dyDescent="0.2">
      <c r="A88" s="25"/>
      <c r="B88" s="7"/>
      <c r="C88" s="44" t="s">
        <v>128</v>
      </c>
      <c r="D88" s="76"/>
      <c r="E88" s="76"/>
      <c r="F88" s="76"/>
      <c r="G88" s="76"/>
      <c r="H88" s="27"/>
    </row>
    <row r="89" spans="1:10" x14ac:dyDescent="0.2">
      <c r="A89" s="25"/>
      <c r="B89" s="98" t="s">
        <v>129</v>
      </c>
      <c r="C89" s="46" t="s">
        <v>130</v>
      </c>
      <c r="D89" s="78">
        <v>13</v>
      </c>
      <c r="E89" s="7" t="s">
        <v>19</v>
      </c>
      <c r="F89" s="18">
        <v>50</v>
      </c>
      <c r="G89" s="94">
        <f t="shared" ref="G89" si="15">D89*F89</f>
        <v>650</v>
      </c>
      <c r="H89" s="27"/>
    </row>
    <row r="90" spans="1:10" ht="269" customHeight="1" x14ac:dyDescent="0.2">
      <c r="A90" s="25"/>
      <c r="B90" s="7"/>
      <c r="C90" s="90" t="s">
        <v>131</v>
      </c>
      <c r="D90" s="76"/>
      <c r="E90" s="76"/>
      <c r="F90" s="76"/>
      <c r="G90" s="76"/>
      <c r="H90" s="27"/>
    </row>
    <row r="91" spans="1:10" x14ac:dyDescent="0.2">
      <c r="A91" s="25"/>
      <c r="B91" s="107" t="s">
        <v>132</v>
      </c>
      <c r="C91" s="107"/>
      <c r="D91" s="107"/>
      <c r="E91" s="107"/>
      <c r="F91" s="107"/>
      <c r="G91" s="94">
        <f>SUM(G59:G90)</f>
        <v>19273.7</v>
      </c>
      <c r="H91" s="27"/>
      <c r="J91" s="4"/>
    </row>
    <row r="92" spans="1:10" x14ac:dyDescent="0.2">
      <c r="A92" s="25"/>
      <c r="B92" s="74"/>
      <c r="C92" s="75"/>
      <c r="D92" s="75"/>
      <c r="E92" s="75"/>
      <c r="F92" s="75"/>
      <c r="G92" s="77"/>
      <c r="H92" s="27"/>
      <c r="J92" s="4"/>
    </row>
    <row r="93" spans="1:10" ht="19" customHeight="1" x14ac:dyDescent="0.2">
      <c r="A93" s="25"/>
      <c r="B93" s="114" t="s">
        <v>5</v>
      </c>
      <c r="C93" s="115"/>
      <c r="D93" s="115"/>
      <c r="E93" s="115"/>
      <c r="F93" s="115"/>
      <c r="G93" s="116"/>
      <c r="H93" s="27"/>
    </row>
    <row r="94" spans="1:10" ht="19" customHeight="1" x14ac:dyDescent="0.2">
      <c r="A94" s="25"/>
      <c r="B94" s="101" t="s">
        <v>133</v>
      </c>
      <c r="C94" s="101"/>
      <c r="D94" s="101"/>
      <c r="E94" s="101"/>
      <c r="F94" s="101"/>
      <c r="G94" s="101"/>
      <c r="H94" s="27"/>
    </row>
    <row r="95" spans="1:10" x14ac:dyDescent="0.2">
      <c r="A95" s="25"/>
      <c r="B95" s="8" t="s">
        <v>7</v>
      </c>
      <c r="C95" s="8" t="s">
        <v>8</v>
      </c>
      <c r="D95" s="16" t="s">
        <v>9</v>
      </c>
      <c r="E95" s="8" t="s">
        <v>10</v>
      </c>
      <c r="F95" s="10" t="s">
        <v>11</v>
      </c>
      <c r="G95" s="10" t="s">
        <v>12</v>
      </c>
      <c r="H95" s="27"/>
      <c r="J95" s="4"/>
    </row>
    <row r="96" spans="1:10" ht="17" x14ac:dyDescent="0.2">
      <c r="A96" s="25"/>
      <c r="B96" s="7">
        <v>1</v>
      </c>
      <c r="C96" s="45" t="s">
        <v>82</v>
      </c>
      <c r="D96" s="18">
        <v>200</v>
      </c>
      <c r="E96" s="7" t="s">
        <v>19</v>
      </c>
      <c r="F96" s="18">
        <v>2</v>
      </c>
      <c r="G96" s="94">
        <f>D96*F96</f>
        <v>400</v>
      </c>
      <c r="H96" s="27"/>
      <c r="J96" s="4"/>
    </row>
    <row r="97" spans="1:10" ht="214.5" customHeight="1" x14ac:dyDescent="0.2">
      <c r="A97" s="25"/>
      <c r="B97" s="7"/>
      <c r="C97" s="44" t="s">
        <v>83</v>
      </c>
      <c r="D97" s="76"/>
      <c r="E97" s="76"/>
      <c r="F97" s="76"/>
      <c r="G97" s="76"/>
      <c r="H97" s="27"/>
      <c r="J97" s="4"/>
    </row>
    <row r="98" spans="1:10" ht="25.5" customHeight="1" x14ac:dyDescent="0.2">
      <c r="A98" s="25"/>
      <c r="B98" s="7">
        <v>2</v>
      </c>
      <c r="C98" s="46" t="s">
        <v>134</v>
      </c>
      <c r="D98" s="18">
        <f>585-220</f>
        <v>365</v>
      </c>
      <c r="E98" s="7" t="s">
        <v>19</v>
      </c>
      <c r="F98" s="18">
        <v>15</v>
      </c>
      <c r="G98" s="94">
        <f t="shared" ref="G98" si="16">D98*F98</f>
        <v>5475</v>
      </c>
      <c r="H98" s="27"/>
      <c r="J98" s="4"/>
    </row>
    <row r="99" spans="1:10" ht="248.5" customHeight="1" x14ac:dyDescent="0.2">
      <c r="A99" s="25"/>
      <c r="B99" s="7"/>
      <c r="C99" s="44" t="s">
        <v>135</v>
      </c>
      <c r="D99" s="76"/>
      <c r="E99" s="76"/>
      <c r="F99" s="76"/>
      <c r="G99" s="76"/>
      <c r="H99" s="27"/>
      <c r="J99" s="4"/>
    </row>
    <row r="100" spans="1:10" ht="34" x14ac:dyDescent="0.2">
      <c r="A100" s="25"/>
      <c r="B100" s="7">
        <v>1.1000000000000001</v>
      </c>
      <c r="C100" s="79" t="s">
        <v>136</v>
      </c>
      <c r="D100" s="18">
        <f>(10+7+9.5)*2</f>
        <v>53</v>
      </c>
      <c r="E100" s="7" t="s">
        <v>27</v>
      </c>
      <c r="F100" s="18">
        <v>5</v>
      </c>
      <c r="G100" s="94">
        <f>D100*F100</f>
        <v>265</v>
      </c>
      <c r="H100" s="27"/>
      <c r="J100" s="4"/>
    </row>
    <row r="101" spans="1:10" ht="34" x14ac:dyDescent="0.2">
      <c r="A101" s="25"/>
      <c r="B101" s="7">
        <v>1.2</v>
      </c>
      <c r="C101" s="79" t="s">
        <v>137</v>
      </c>
      <c r="D101" s="18">
        <v>120</v>
      </c>
      <c r="E101" s="7" t="s">
        <v>27</v>
      </c>
      <c r="F101" s="18">
        <v>3</v>
      </c>
      <c r="G101" s="94">
        <f>D101*F101</f>
        <v>360</v>
      </c>
      <c r="H101" s="27"/>
      <c r="J101" s="4"/>
    </row>
    <row r="102" spans="1:10" ht="17" x14ac:dyDescent="0.2">
      <c r="A102" s="25"/>
      <c r="B102" s="7">
        <v>2</v>
      </c>
      <c r="C102" s="45" t="s">
        <v>138</v>
      </c>
      <c r="D102" s="18">
        <v>5</v>
      </c>
      <c r="E102" s="7" t="s">
        <v>23</v>
      </c>
      <c r="F102" s="18">
        <v>50</v>
      </c>
      <c r="G102" s="94">
        <f t="shared" ref="G102" si="17">D102*F102</f>
        <v>250</v>
      </c>
      <c r="H102" s="27"/>
      <c r="J102" s="4"/>
    </row>
    <row r="103" spans="1:10" ht="173.5" customHeight="1" x14ac:dyDescent="0.2">
      <c r="A103" s="25"/>
      <c r="B103" s="7"/>
      <c r="C103" s="44" t="s">
        <v>139</v>
      </c>
      <c r="D103" s="76"/>
      <c r="E103" s="76"/>
      <c r="F103" s="76"/>
      <c r="G103" s="76"/>
      <c r="H103" s="27"/>
      <c r="J103" s="4"/>
    </row>
    <row r="104" spans="1:10" ht="17" x14ac:dyDescent="0.2">
      <c r="A104" s="25"/>
      <c r="B104" s="7">
        <v>3</v>
      </c>
      <c r="C104" s="45" t="s">
        <v>101</v>
      </c>
      <c r="D104" s="18">
        <f>(12.6+11+4+2.5)*3.5</f>
        <v>105.35000000000001</v>
      </c>
      <c r="E104" s="7" t="s">
        <v>19</v>
      </c>
      <c r="F104" s="18">
        <v>15</v>
      </c>
      <c r="G104" s="94">
        <f t="shared" ref="G104" si="18">D104*F104</f>
        <v>1580.2500000000002</v>
      </c>
      <c r="H104" s="27"/>
      <c r="J104" s="4"/>
    </row>
    <row r="105" spans="1:10" ht="254.5" customHeight="1" x14ac:dyDescent="0.2">
      <c r="A105" s="25"/>
      <c r="B105" s="7"/>
      <c r="C105" s="44" t="s">
        <v>140</v>
      </c>
      <c r="D105" s="76"/>
      <c r="E105" s="76"/>
      <c r="F105" s="76"/>
      <c r="G105" s="76"/>
      <c r="H105" s="27"/>
      <c r="J105" s="4"/>
    </row>
    <row r="106" spans="1:10" ht="17" x14ac:dyDescent="0.2">
      <c r="A106" s="25"/>
      <c r="B106" s="48">
        <v>4</v>
      </c>
      <c r="C106" s="45" t="s">
        <v>141</v>
      </c>
      <c r="D106" s="18">
        <v>30</v>
      </c>
      <c r="E106" s="7" t="s">
        <v>19</v>
      </c>
      <c r="F106" s="18">
        <v>10</v>
      </c>
      <c r="G106" s="94">
        <f>D106*F106</f>
        <v>300</v>
      </c>
      <c r="H106" s="27"/>
      <c r="J106" s="4"/>
    </row>
    <row r="107" spans="1:10" ht="170" customHeight="1" x14ac:dyDescent="0.2">
      <c r="A107" s="25"/>
      <c r="B107" s="48"/>
      <c r="C107" s="44" t="s">
        <v>142</v>
      </c>
      <c r="D107" s="76"/>
      <c r="E107" s="76"/>
      <c r="F107" s="76"/>
      <c r="G107" s="76"/>
      <c r="H107" s="27"/>
      <c r="J107" s="4"/>
    </row>
    <row r="108" spans="1:10" x14ac:dyDescent="0.2">
      <c r="A108" s="25"/>
      <c r="B108" s="7">
        <v>5</v>
      </c>
      <c r="C108" s="46" t="s">
        <v>143</v>
      </c>
      <c r="D108" s="18">
        <v>5</v>
      </c>
      <c r="E108" s="7" t="s">
        <v>19</v>
      </c>
      <c r="F108" s="18">
        <v>20</v>
      </c>
      <c r="G108" s="94">
        <f t="shared" ref="G108" si="19">D108*F108</f>
        <v>100</v>
      </c>
      <c r="H108" s="27"/>
      <c r="J108" s="4"/>
    </row>
    <row r="109" spans="1:10" ht="274" customHeight="1" x14ac:dyDescent="0.2">
      <c r="A109" s="25"/>
      <c r="B109" s="7"/>
      <c r="C109" s="44" t="s">
        <v>122</v>
      </c>
      <c r="D109" s="76"/>
      <c r="E109" s="76"/>
      <c r="F109" s="76"/>
      <c r="G109" s="76"/>
      <c r="H109" s="27"/>
      <c r="J109" s="4"/>
    </row>
    <row r="110" spans="1:10" x14ac:dyDescent="0.2">
      <c r="A110" s="25"/>
      <c r="B110" s="7">
        <v>6</v>
      </c>
      <c r="C110" s="46" t="s">
        <v>144</v>
      </c>
      <c r="D110" s="78">
        <v>6</v>
      </c>
      <c r="E110" s="7" t="s">
        <v>19</v>
      </c>
      <c r="F110" s="18">
        <v>50</v>
      </c>
      <c r="G110" s="94">
        <f t="shared" ref="G110" si="20">D110*F110</f>
        <v>300</v>
      </c>
      <c r="H110" s="27"/>
      <c r="J110" s="4"/>
    </row>
    <row r="111" spans="1:10" ht="259.5" customHeight="1" x14ac:dyDescent="0.2">
      <c r="A111" s="25"/>
      <c r="B111" s="7"/>
      <c r="C111" s="44" t="s">
        <v>131</v>
      </c>
      <c r="D111" s="76"/>
      <c r="E111" s="76"/>
      <c r="F111" s="76"/>
      <c r="G111" s="76"/>
      <c r="H111" s="27"/>
      <c r="J111" s="4"/>
    </row>
    <row r="112" spans="1:10" x14ac:dyDescent="0.2">
      <c r="A112" s="25"/>
      <c r="B112" s="48"/>
      <c r="C112" s="51"/>
      <c r="D112" s="49"/>
      <c r="E112" s="50"/>
      <c r="F112" s="71"/>
      <c r="G112" s="83"/>
      <c r="H112" s="27"/>
      <c r="J112" s="4"/>
    </row>
    <row r="113" spans="1:10" x14ac:dyDescent="0.2">
      <c r="A113" s="25"/>
      <c r="B113" s="107" t="s">
        <v>145</v>
      </c>
      <c r="C113" s="107"/>
      <c r="D113" s="107"/>
      <c r="E113" s="107"/>
      <c r="F113" s="107"/>
      <c r="G113" s="94">
        <f>SUM(G96:G112)</f>
        <v>9030.25</v>
      </c>
      <c r="H113" s="27"/>
      <c r="J113" s="4"/>
    </row>
    <row r="114" spans="1:10" x14ac:dyDescent="0.2">
      <c r="A114" s="25"/>
      <c r="B114" s="74"/>
      <c r="C114" s="75"/>
      <c r="D114" s="75"/>
      <c r="E114" s="75"/>
      <c r="F114" s="75"/>
      <c r="G114" s="12"/>
      <c r="H114" s="27"/>
      <c r="J114" s="4"/>
    </row>
    <row r="115" spans="1:10" ht="19" customHeight="1" x14ac:dyDescent="0.2">
      <c r="A115" s="25"/>
      <c r="B115" s="114" t="s">
        <v>5</v>
      </c>
      <c r="C115" s="115"/>
      <c r="D115" s="115"/>
      <c r="E115" s="115"/>
      <c r="F115" s="115"/>
      <c r="G115" s="116"/>
      <c r="H115" s="27"/>
    </row>
    <row r="116" spans="1:10" ht="19" customHeight="1" x14ac:dyDescent="0.2">
      <c r="A116" s="25"/>
      <c r="B116" s="101" t="s">
        <v>146</v>
      </c>
      <c r="C116" s="101"/>
      <c r="D116" s="101"/>
      <c r="E116" s="101"/>
      <c r="F116" s="101"/>
      <c r="G116" s="101"/>
      <c r="H116" s="27"/>
    </row>
    <row r="117" spans="1:10" x14ac:dyDescent="0.2">
      <c r="A117" s="25"/>
      <c r="B117" s="8" t="s">
        <v>7</v>
      </c>
      <c r="C117" s="8" t="s">
        <v>8</v>
      </c>
      <c r="D117" s="16" t="s">
        <v>9</v>
      </c>
      <c r="E117" s="8" t="s">
        <v>10</v>
      </c>
      <c r="F117" s="10" t="s">
        <v>11</v>
      </c>
      <c r="G117" s="10" t="s">
        <v>12</v>
      </c>
      <c r="H117" s="27"/>
    </row>
    <row r="118" spans="1:10" ht="17" x14ac:dyDescent="0.2">
      <c r="A118" s="25"/>
      <c r="B118" s="7">
        <v>1</v>
      </c>
      <c r="C118" s="45" t="s">
        <v>138</v>
      </c>
      <c r="D118" s="18">
        <v>1</v>
      </c>
      <c r="E118" s="7" t="s">
        <v>23</v>
      </c>
      <c r="F118" s="18">
        <v>50</v>
      </c>
      <c r="G118" s="94">
        <f t="shared" ref="G118" si="21">D118*F118</f>
        <v>50</v>
      </c>
      <c r="H118" s="27"/>
    </row>
    <row r="119" spans="1:10" ht="130" customHeight="1" x14ac:dyDescent="0.2">
      <c r="A119" s="25"/>
      <c r="B119" s="7"/>
      <c r="C119" s="9" t="s">
        <v>147</v>
      </c>
      <c r="D119" s="76"/>
      <c r="E119" s="76"/>
      <c r="F119" s="76"/>
      <c r="G119" s="76"/>
      <c r="H119" s="27"/>
    </row>
    <row r="120" spans="1:10" ht="45.75" customHeight="1" x14ac:dyDescent="0.2">
      <c r="A120" s="25"/>
      <c r="B120" s="7">
        <v>2</v>
      </c>
      <c r="C120" s="45" t="s">
        <v>148</v>
      </c>
      <c r="D120" s="18">
        <v>1</v>
      </c>
      <c r="E120" s="7" t="s">
        <v>23</v>
      </c>
      <c r="F120" s="18">
        <v>300</v>
      </c>
      <c r="G120" s="94">
        <f t="shared" ref="G120" si="22">D120*F120</f>
        <v>300</v>
      </c>
      <c r="H120" s="27"/>
    </row>
    <row r="121" spans="1:10" ht="252" customHeight="1" x14ac:dyDescent="0.2">
      <c r="A121" s="25"/>
      <c r="B121" s="7"/>
      <c r="C121" s="9" t="s">
        <v>149</v>
      </c>
      <c r="D121" s="76"/>
      <c r="E121" s="76"/>
      <c r="F121" s="76"/>
      <c r="G121" s="76"/>
      <c r="H121" s="27"/>
    </row>
    <row r="122" spans="1:10" ht="32.5" customHeight="1" x14ac:dyDescent="0.2">
      <c r="A122" s="25"/>
      <c r="B122" s="7">
        <v>3</v>
      </c>
      <c r="C122" s="45" t="s">
        <v>150</v>
      </c>
      <c r="D122" s="18">
        <v>1</v>
      </c>
      <c r="E122" s="7" t="s">
        <v>15</v>
      </c>
      <c r="F122" s="18">
        <v>500</v>
      </c>
      <c r="G122" s="94">
        <f t="shared" ref="G122" si="23">D122*F122</f>
        <v>500</v>
      </c>
      <c r="H122" s="27"/>
    </row>
    <row r="123" spans="1:10" ht="304" customHeight="1" x14ac:dyDescent="0.2">
      <c r="A123" s="25"/>
      <c r="B123" s="7"/>
      <c r="C123" s="9" t="s">
        <v>151</v>
      </c>
      <c r="D123" s="76"/>
      <c r="E123" s="76"/>
      <c r="F123" s="76"/>
      <c r="G123" s="76"/>
      <c r="H123" s="27"/>
    </row>
    <row r="124" spans="1:10" ht="17" x14ac:dyDescent="0.2">
      <c r="A124" s="25"/>
      <c r="B124" s="7">
        <v>4</v>
      </c>
      <c r="C124" s="45" t="s">
        <v>152</v>
      </c>
      <c r="D124" s="76"/>
      <c r="E124" s="76"/>
      <c r="F124" s="76"/>
      <c r="G124" s="76"/>
      <c r="H124" s="27"/>
    </row>
    <row r="125" spans="1:10" ht="34" x14ac:dyDescent="0.2">
      <c r="A125" s="25"/>
      <c r="B125" s="7">
        <v>4.0999999999999996</v>
      </c>
      <c r="C125" s="45" t="s">
        <v>153</v>
      </c>
      <c r="D125" s="18">
        <f>(2.3*3.5-1.1*2.4)+1*3.5+7*3.5+(1.8+1)*3.5</f>
        <v>43.209999999999994</v>
      </c>
      <c r="E125" s="7" t="s">
        <v>19</v>
      </c>
      <c r="F125" s="18">
        <v>15</v>
      </c>
      <c r="G125" s="94">
        <f t="shared" ref="G125:G134" si="24">D125*F125</f>
        <v>648.14999999999986</v>
      </c>
      <c r="H125" s="27"/>
    </row>
    <row r="126" spans="1:10" ht="17" x14ac:dyDescent="0.2">
      <c r="A126" s="25"/>
      <c r="B126" s="7">
        <v>4.2</v>
      </c>
      <c r="C126" s="45" t="s">
        <v>154</v>
      </c>
      <c r="D126" s="18">
        <f>(2.6+5.8)*1.2</f>
        <v>10.08</v>
      </c>
      <c r="E126" s="7" t="s">
        <v>19</v>
      </c>
      <c r="F126" s="18">
        <v>15</v>
      </c>
      <c r="G126" s="94">
        <f t="shared" ref="G126" si="25">D126*F126</f>
        <v>151.19999999999999</v>
      </c>
      <c r="H126" s="27"/>
    </row>
    <row r="127" spans="1:10" ht="268.5" customHeight="1" x14ac:dyDescent="0.2">
      <c r="A127" s="25"/>
      <c r="B127" s="7"/>
      <c r="C127" s="44" t="s">
        <v>155</v>
      </c>
      <c r="D127" s="76"/>
      <c r="E127" s="76"/>
      <c r="F127" s="76"/>
      <c r="G127" s="76"/>
      <c r="H127" s="27"/>
    </row>
    <row r="128" spans="1:10" ht="16" customHeight="1" x14ac:dyDescent="0.2">
      <c r="A128" s="25"/>
      <c r="B128" s="7">
        <v>5</v>
      </c>
      <c r="C128" s="47" t="s">
        <v>156</v>
      </c>
      <c r="D128" s="18">
        <f>(2.6+5.8)*2.4</f>
        <v>20.16</v>
      </c>
      <c r="E128" s="7" t="s">
        <v>19</v>
      </c>
      <c r="F128" s="18">
        <v>30</v>
      </c>
      <c r="G128" s="94">
        <f t="shared" ref="G128" si="26">D128*F128</f>
        <v>604.79999999999995</v>
      </c>
      <c r="H128" s="27"/>
    </row>
    <row r="129" spans="1:8" ht="297" customHeight="1" x14ac:dyDescent="0.2">
      <c r="A129" s="25"/>
      <c r="B129" s="7"/>
      <c r="C129" s="44" t="s">
        <v>157</v>
      </c>
      <c r="D129" s="76"/>
      <c r="E129" s="76"/>
      <c r="F129" s="76"/>
      <c r="G129" s="76"/>
      <c r="H129" s="27"/>
    </row>
    <row r="130" spans="1:8" ht="34" x14ac:dyDescent="0.2">
      <c r="A130" s="25"/>
      <c r="B130" s="7">
        <v>6</v>
      </c>
      <c r="C130" s="47" t="s">
        <v>158</v>
      </c>
      <c r="D130" s="18">
        <f>3*2.4</f>
        <v>7.1999999999999993</v>
      </c>
      <c r="E130" s="7" t="s">
        <v>19</v>
      </c>
      <c r="F130" s="18">
        <v>100</v>
      </c>
      <c r="G130" s="94">
        <f t="shared" si="24"/>
        <v>719.99999999999989</v>
      </c>
      <c r="H130" s="27"/>
    </row>
    <row r="131" spans="1:8" ht="333" customHeight="1" x14ac:dyDescent="0.2">
      <c r="A131" s="25"/>
      <c r="B131" s="7"/>
      <c r="C131" s="9" t="s">
        <v>159</v>
      </c>
      <c r="D131" s="76"/>
      <c r="E131" s="76"/>
      <c r="F131" s="76"/>
      <c r="G131" s="76"/>
      <c r="H131" s="27"/>
    </row>
    <row r="132" spans="1:8" ht="17" x14ac:dyDescent="0.2">
      <c r="A132" s="25"/>
      <c r="B132" s="7">
        <v>7</v>
      </c>
      <c r="C132" s="45" t="s">
        <v>160</v>
      </c>
      <c r="D132" s="18">
        <v>50</v>
      </c>
      <c r="E132" s="7" t="s">
        <v>19</v>
      </c>
      <c r="F132" s="18">
        <v>15</v>
      </c>
      <c r="G132" s="94">
        <f t="shared" ref="G132" si="27">D132*F132</f>
        <v>750</v>
      </c>
      <c r="H132" s="27"/>
    </row>
    <row r="133" spans="1:8" ht="295.5" customHeight="1" x14ac:dyDescent="0.2">
      <c r="A133" s="25"/>
      <c r="B133" s="7"/>
      <c r="C133" s="44" t="s">
        <v>161</v>
      </c>
      <c r="D133" s="76"/>
      <c r="E133" s="76"/>
      <c r="F133" s="76"/>
      <c r="G133" s="76"/>
      <c r="H133" s="27"/>
    </row>
    <row r="134" spans="1:8" ht="52.5" customHeight="1" x14ac:dyDescent="0.2">
      <c r="A134" s="25"/>
      <c r="B134" s="7">
        <v>8</v>
      </c>
      <c r="C134" s="45" t="s">
        <v>162</v>
      </c>
      <c r="D134" s="18">
        <v>25</v>
      </c>
      <c r="E134" s="7" t="s">
        <v>19</v>
      </c>
      <c r="F134" s="18">
        <v>50</v>
      </c>
      <c r="G134" s="94">
        <f t="shared" si="24"/>
        <v>1250</v>
      </c>
      <c r="H134" s="27"/>
    </row>
    <row r="135" spans="1:8" ht="275" customHeight="1" x14ac:dyDescent="0.2">
      <c r="A135" s="25"/>
      <c r="B135" s="7"/>
      <c r="C135" s="44" t="s">
        <v>163</v>
      </c>
      <c r="D135" s="76"/>
      <c r="E135" s="76"/>
      <c r="F135" s="76"/>
      <c r="G135" s="76"/>
      <c r="H135" s="27"/>
    </row>
    <row r="136" spans="1:8" ht="17" x14ac:dyDescent="0.2">
      <c r="A136" s="25"/>
      <c r="B136" s="7">
        <v>9</v>
      </c>
      <c r="C136" s="45" t="s">
        <v>164</v>
      </c>
      <c r="D136" s="18">
        <v>1</v>
      </c>
      <c r="E136" s="7" t="s">
        <v>15</v>
      </c>
      <c r="F136" s="18">
        <v>500</v>
      </c>
      <c r="G136" s="94">
        <f t="shared" ref="G136" si="28">D136*F136</f>
        <v>500</v>
      </c>
      <c r="H136" s="27"/>
    </row>
    <row r="137" spans="1:8" ht="398.5" customHeight="1" x14ac:dyDescent="0.2">
      <c r="A137" s="25"/>
      <c r="B137" s="7"/>
      <c r="C137" s="9" t="s">
        <v>165</v>
      </c>
      <c r="D137" s="76"/>
      <c r="E137" s="76"/>
      <c r="F137" s="76"/>
      <c r="G137" s="76"/>
      <c r="H137" s="27"/>
    </row>
    <row r="138" spans="1:8" ht="17" x14ac:dyDescent="0.2">
      <c r="A138" s="25"/>
      <c r="B138" s="7">
        <v>10</v>
      </c>
      <c r="C138" s="45" t="s">
        <v>166</v>
      </c>
      <c r="D138" s="18">
        <v>30</v>
      </c>
      <c r="E138" s="7" t="s">
        <v>23</v>
      </c>
      <c r="F138" s="18">
        <v>25</v>
      </c>
      <c r="G138" s="94">
        <f t="shared" ref="G138" si="29">D138*F138</f>
        <v>750</v>
      </c>
      <c r="H138" s="27"/>
    </row>
    <row r="139" spans="1:8" ht="301.5" customHeight="1" x14ac:dyDescent="0.2">
      <c r="A139" s="25"/>
      <c r="B139" s="7"/>
      <c r="C139" s="44" t="s">
        <v>167</v>
      </c>
      <c r="D139" s="76"/>
      <c r="E139" s="76"/>
      <c r="F139" s="76"/>
      <c r="G139" s="76"/>
      <c r="H139" s="27"/>
    </row>
    <row r="140" spans="1:8" x14ac:dyDescent="0.2">
      <c r="A140" s="25"/>
      <c r="B140" s="7">
        <v>11</v>
      </c>
      <c r="C140" s="46" t="s">
        <v>143</v>
      </c>
      <c r="D140" s="18">
        <v>25</v>
      </c>
      <c r="E140" s="7" t="s">
        <v>19</v>
      </c>
      <c r="F140" s="18">
        <v>20</v>
      </c>
      <c r="G140" s="94">
        <f t="shared" ref="G140" si="30">D140*F140</f>
        <v>500</v>
      </c>
      <c r="H140" s="27"/>
    </row>
    <row r="141" spans="1:8" ht="301.5" customHeight="1" x14ac:dyDescent="0.2">
      <c r="A141" s="25"/>
      <c r="B141" s="7"/>
      <c r="C141" s="44" t="s">
        <v>122</v>
      </c>
      <c r="D141" s="76"/>
      <c r="E141" s="76"/>
      <c r="F141" s="76"/>
      <c r="G141" s="76"/>
      <c r="H141" s="27"/>
    </row>
    <row r="142" spans="1:8" x14ac:dyDescent="0.2">
      <c r="A142" s="25"/>
      <c r="B142" s="7">
        <v>12</v>
      </c>
      <c r="C142" s="46" t="s">
        <v>168</v>
      </c>
      <c r="D142" s="18">
        <v>50</v>
      </c>
      <c r="E142" s="7" t="s">
        <v>19</v>
      </c>
      <c r="F142" s="18">
        <v>6</v>
      </c>
      <c r="G142" s="94">
        <f t="shared" ref="G142" si="31">D142*F142</f>
        <v>300</v>
      </c>
      <c r="H142" s="27"/>
    </row>
    <row r="143" spans="1:8" ht="185.5" customHeight="1" x14ac:dyDescent="0.2">
      <c r="A143" s="25"/>
      <c r="B143" s="7"/>
      <c r="C143" s="44" t="s">
        <v>169</v>
      </c>
      <c r="D143" s="76"/>
      <c r="E143" s="76"/>
      <c r="F143" s="76"/>
      <c r="G143" s="76"/>
      <c r="H143" s="27"/>
    </row>
    <row r="144" spans="1:8" ht="34" x14ac:dyDescent="0.2">
      <c r="A144" s="25"/>
      <c r="B144" s="7">
        <v>13</v>
      </c>
      <c r="C144" s="45" t="s">
        <v>170</v>
      </c>
      <c r="D144" s="18">
        <v>25</v>
      </c>
      <c r="E144" s="7" t="s">
        <v>19</v>
      </c>
      <c r="F144" s="18">
        <v>10</v>
      </c>
      <c r="G144" s="94">
        <f t="shared" ref="G144" si="32">D144*F144</f>
        <v>250</v>
      </c>
      <c r="H144" s="27"/>
    </row>
    <row r="145" spans="1:8" ht="238" x14ac:dyDescent="0.2">
      <c r="A145" s="25"/>
      <c r="B145" s="7"/>
      <c r="C145" s="44" t="s">
        <v>171</v>
      </c>
      <c r="D145" s="76"/>
      <c r="E145" s="76"/>
      <c r="F145" s="76"/>
      <c r="G145" s="76"/>
      <c r="H145" s="27"/>
    </row>
    <row r="146" spans="1:8" ht="17" x14ac:dyDescent="0.2">
      <c r="A146" s="25"/>
      <c r="B146" s="7">
        <v>14</v>
      </c>
      <c r="C146" s="45" t="s">
        <v>30</v>
      </c>
      <c r="D146" s="18">
        <v>50</v>
      </c>
      <c r="E146" s="7" t="s">
        <v>19</v>
      </c>
      <c r="F146" s="18">
        <v>2</v>
      </c>
      <c r="G146" s="94">
        <f>D146*F146</f>
        <v>100</v>
      </c>
      <c r="H146" s="27"/>
    </row>
    <row r="147" spans="1:8" ht="246" customHeight="1" x14ac:dyDescent="0.2">
      <c r="A147" s="25"/>
      <c r="B147" s="7"/>
      <c r="C147" s="44" t="s">
        <v>172</v>
      </c>
      <c r="D147" s="76"/>
      <c r="E147" s="76"/>
      <c r="F147" s="76"/>
      <c r="G147" s="76"/>
      <c r="H147" s="27"/>
    </row>
    <row r="148" spans="1:8" ht="17" x14ac:dyDescent="0.2">
      <c r="A148" s="25"/>
      <c r="B148" s="7">
        <v>15</v>
      </c>
      <c r="C148" s="45" t="s">
        <v>173</v>
      </c>
      <c r="D148" s="18">
        <v>1</v>
      </c>
      <c r="E148" s="7" t="s">
        <v>15</v>
      </c>
      <c r="F148" s="18">
        <v>300</v>
      </c>
      <c r="G148" s="94">
        <f t="shared" ref="G148:G150" si="33">D148*F148</f>
        <v>300</v>
      </c>
      <c r="H148" s="27"/>
    </row>
    <row r="149" spans="1:8" ht="134.5" customHeight="1" x14ac:dyDescent="0.2">
      <c r="A149" s="25"/>
      <c r="B149" s="7"/>
      <c r="C149" s="9" t="s">
        <v>174</v>
      </c>
      <c r="D149" s="76"/>
      <c r="E149" s="76"/>
      <c r="F149" s="76"/>
      <c r="G149" s="76"/>
      <c r="H149" s="27"/>
    </row>
    <row r="150" spans="1:8" ht="17" x14ac:dyDescent="0.2">
      <c r="A150" s="25"/>
      <c r="B150" s="7">
        <v>16</v>
      </c>
      <c r="C150" s="45" t="s">
        <v>175</v>
      </c>
      <c r="D150" s="18">
        <v>2</v>
      </c>
      <c r="E150" s="7" t="s">
        <v>23</v>
      </c>
      <c r="F150" s="18">
        <v>200</v>
      </c>
      <c r="G150" s="94">
        <f t="shared" si="33"/>
        <v>400</v>
      </c>
      <c r="H150" s="27"/>
    </row>
    <row r="151" spans="1:8" ht="119" x14ac:dyDescent="0.2">
      <c r="A151" s="25"/>
      <c r="B151" s="7"/>
      <c r="C151" s="44" t="s">
        <v>176</v>
      </c>
      <c r="D151" s="76"/>
      <c r="E151" s="76"/>
      <c r="F151" s="76"/>
      <c r="G151" s="76"/>
      <c r="H151" s="27"/>
    </row>
    <row r="152" spans="1:8" ht="34" x14ac:dyDescent="0.2">
      <c r="A152" s="25"/>
      <c r="B152" s="7">
        <v>17</v>
      </c>
      <c r="C152" s="45" t="s">
        <v>177</v>
      </c>
      <c r="D152" s="18">
        <v>1</v>
      </c>
      <c r="E152" s="7" t="s">
        <v>23</v>
      </c>
      <c r="F152" s="18">
        <v>200</v>
      </c>
      <c r="G152" s="94">
        <f t="shared" ref="G152" si="34">D152*F152</f>
        <v>200</v>
      </c>
      <c r="H152" s="27"/>
    </row>
    <row r="153" spans="1:8" ht="254.5" customHeight="1" x14ac:dyDescent="0.2">
      <c r="A153" s="25"/>
      <c r="B153" s="7"/>
      <c r="C153" s="9" t="s">
        <v>178</v>
      </c>
      <c r="D153" s="76"/>
      <c r="E153" s="76"/>
      <c r="F153" s="76"/>
      <c r="G153" s="76"/>
      <c r="H153" s="27"/>
    </row>
    <row r="154" spans="1:8" ht="17" x14ac:dyDescent="0.2">
      <c r="A154" s="25"/>
      <c r="B154" s="7">
        <v>18</v>
      </c>
      <c r="C154" s="45" t="s">
        <v>179</v>
      </c>
      <c r="D154" s="18">
        <v>1</v>
      </c>
      <c r="E154" s="7" t="s">
        <v>23</v>
      </c>
      <c r="F154" s="18">
        <v>100</v>
      </c>
      <c r="G154" s="94">
        <f t="shared" ref="G154" si="35">D154*F154</f>
        <v>100</v>
      </c>
      <c r="H154" s="27"/>
    </row>
    <row r="155" spans="1:8" ht="271.5" customHeight="1" x14ac:dyDescent="0.2">
      <c r="A155" s="25"/>
      <c r="B155" s="7"/>
      <c r="C155" s="9" t="s">
        <v>72</v>
      </c>
      <c r="D155" s="76"/>
      <c r="E155" s="76"/>
      <c r="F155" s="76"/>
      <c r="G155" s="76"/>
      <c r="H155" s="27"/>
    </row>
    <row r="156" spans="1:8" ht="15.75" customHeight="1" x14ac:dyDescent="0.2">
      <c r="A156" s="25"/>
      <c r="B156" s="107" t="s">
        <v>180</v>
      </c>
      <c r="C156" s="107"/>
      <c r="D156" s="107"/>
      <c r="E156" s="107"/>
      <c r="F156" s="107"/>
      <c r="G156" s="94">
        <f>SUM(G118:G155)</f>
        <v>8374.15</v>
      </c>
      <c r="H156" s="27"/>
    </row>
    <row r="157" spans="1:8" ht="15.75" customHeight="1" x14ac:dyDescent="0.2">
      <c r="A157" s="25"/>
      <c r="B157" s="74"/>
      <c r="C157" s="75"/>
      <c r="D157" s="75"/>
      <c r="E157" s="75"/>
      <c r="F157" s="75"/>
      <c r="G157" s="96"/>
      <c r="H157" s="27"/>
    </row>
    <row r="158" spans="1:8" ht="15.75" customHeight="1" x14ac:dyDescent="0.2">
      <c r="A158" s="25"/>
      <c r="B158" s="25"/>
      <c r="C158" s="114" t="s">
        <v>5</v>
      </c>
      <c r="D158" s="115"/>
      <c r="E158" s="115"/>
      <c r="F158" s="115"/>
      <c r="G158" s="115"/>
      <c r="H158" s="116"/>
    </row>
    <row r="159" spans="1:8" ht="15.75" customHeight="1" x14ac:dyDescent="0.2">
      <c r="A159" s="25"/>
      <c r="B159" s="25"/>
      <c r="C159" s="101" t="s">
        <v>181</v>
      </c>
      <c r="D159" s="101"/>
      <c r="E159" s="101"/>
      <c r="F159" s="101"/>
      <c r="G159" s="101"/>
      <c r="H159" s="101"/>
    </row>
    <row r="160" spans="1:8" ht="15.75" customHeight="1" x14ac:dyDescent="0.2">
      <c r="A160" s="25"/>
      <c r="B160" s="7">
        <v>1</v>
      </c>
      <c r="C160" s="45" t="s">
        <v>182</v>
      </c>
      <c r="D160" s="18">
        <v>3</v>
      </c>
      <c r="E160" s="7" t="s">
        <v>23</v>
      </c>
      <c r="F160" s="18">
        <v>50</v>
      </c>
      <c r="G160" s="94">
        <f t="shared" ref="G160" si="36">D160*F160</f>
        <v>150</v>
      </c>
      <c r="H160" s="87"/>
    </row>
    <row r="161" spans="1:10" ht="204.5" customHeight="1" x14ac:dyDescent="0.2">
      <c r="A161" s="25"/>
      <c r="B161" s="7"/>
      <c r="C161" s="9" t="s">
        <v>183</v>
      </c>
      <c r="D161" s="76"/>
      <c r="E161" s="76"/>
      <c r="F161" s="76"/>
      <c r="G161" s="76"/>
      <c r="H161" s="87"/>
    </row>
    <row r="162" spans="1:10" ht="15.75" customHeight="1" x14ac:dyDescent="0.2">
      <c r="A162" s="25"/>
      <c r="B162" s="74">
        <v>2</v>
      </c>
      <c r="C162" s="45" t="s">
        <v>184</v>
      </c>
      <c r="D162" s="76"/>
      <c r="E162" s="76"/>
      <c r="F162" s="76"/>
      <c r="G162" s="76"/>
      <c r="H162" s="27"/>
    </row>
    <row r="163" spans="1:10" ht="236" customHeight="1" x14ac:dyDescent="0.2">
      <c r="A163" s="25"/>
      <c r="B163" s="7"/>
      <c r="C163" s="9" t="s">
        <v>185</v>
      </c>
      <c r="D163" s="76"/>
      <c r="E163" s="76"/>
      <c r="F163" s="76"/>
      <c r="G163" s="76"/>
      <c r="H163" s="27"/>
    </row>
    <row r="164" spans="1:10" ht="15.75" customHeight="1" x14ac:dyDescent="0.2">
      <c r="A164" s="25"/>
      <c r="B164" s="74">
        <v>2.1</v>
      </c>
      <c r="C164" s="45" t="s">
        <v>186</v>
      </c>
      <c r="D164" s="18">
        <v>1</v>
      </c>
      <c r="E164" s="7" t="s">
        <v>187</v>
      </c>
      <c r="F164" s="18">
        <v>150</v>
      </c>
      <c r="G164" s="94">
        <f t="shared" ref="G164:G166" si="37">D164*F164</f>
        <v>150</v>
      </c>
      <c r="H164" s="27"/>
    </row>
    <row r="165" spans="1:10" ht="39" customHeight="1" x14ac:dyDescent="0.2">
      <c r="A165" s="25"/>
      <c r="B165" s="74">
        <v>3</v>
      </c>
      <c r="C165" s="45" t="s">
        <v>188</v>
      </c>
      <c r="D165" s="76"/>
      <c r="E165" s="76"/>
      <c r="F165" s="76"/>
      <c r="G165" s="76"/>
      <c r="H165" s="27"/>
    </row>
    <row r="166" spans="1:10" ht="358.5" customHeight="1" x14ac:dyDescent="0.2">
      <c r="A166" s="25"/>
      <c r="B166" s="74">
        <v>3.2</v>
      </c>
      <c r="C166" s="44" t="s">
        <v>189</v>
      </c>
      <c r="D166" s="18">
        <v>4</v>
      </c>
      <c r="E166" s="18" t="s">
        <v>187</v>
      </c>
      <c r="F166" s="18">
        <v>300</v>
      </c>
      <c r="G166" s="94">
        <f t="shared" si="37"/>
        <v>1200</v>
      </c>
      <c r="H166" s="27"/>
    </row>
    <row r="167" spans="1:10" ht="15.75" customHeight="1" x14ac:dyDescent="0.2">
      <c r="A167" s="25"/>
      <c r="B167" s="74"/>
      <c r="C167" s="79"/>
      <c r="D167" s="75"/>
      <c r="E167" s="75"/>
      <c r="F167" s="75"/>
      <c r="G167" s="83"/>
      <c r="H167" s="27"/>
    </row>
    <row r="168" spans="1:10" ht="15.75" customHeight="1" x14ac:dyDescent="0.2">
      <c r="A168" s="25"/>
      <c r="B168" s="107" t="s">
        <v>190</v>
      </c>
      <c r="C168" s="107"/>
      <c r="D168" s="107"/>
      <c r="E168" s="107"/>
      <c r="F168" s="107"/>
      <c r="G168" s="94">
        <f>SUM(G160:G166)</f>
        <v>1500</v>
      </c>
      <c r="H168" s="27"/>
    </row>
    <row r="169" spans="1:10" ht="15.75" customHeight="1" x14ac:dyDescent="0.2">
      <c r="A169" s="25"/>
      <c r="B169" s="110"/>
      <c r="C169" s="111"/>
      <c r="D169" s="111"/>
      <c r="E169" s="111"/>
      <c r="F169" s="111"/>
      <c r="G169" s="112"/>
      <c r="H169" s="27"/>
    </row>
    <row r="170" spans="1:10" x14ac:dyDescent="0.2">
      <c r="A170" s="25"/>
      <c r="B170" s="107" t="s">
        <v>191</v>
      </c>
      <c r="C170" s="107"/>
      <c r="D170" s="107"/>
      <c r="E170" s="107"/>
      <c r="F170" s="107"/>
      <c r="G170" s="94">
        <f>G54+G91+G156+G113+G168</f>
        <v>55331.6</v>
      </c>
      <c r="H170" s="31"/>
      <c r="J170" s="6"/>
    </row>
    <row r="171" spans="1:10" x14ac:dyDescent="0.2">
      <c r="A171" s="33"/>
      <c r="B171" s="14"/>
      <c r="C171" s="14"/>
      <c r="D171" s="19"/>
      <c r="E171" s="14"/>
      <c r="F171" s="14"/>
      <c r="G171" s="14"/>
      <c r="H171" s="34"/>
    </row>
    <row r="172" spans="1:10" x14ac:dyDescent="0.2">
      <c r="A172" s="25"/>
      <c r="B172" s="104"/>
      <c r="C172" s="104"/>
      <c r="D172" s="104"/>
      <c r="E172" s="104"/>
      <c r="F172" s="104"/>
      <c r="G172" s="104"/>
      <c r="H172" s="27"/>
    </row>
    <row r="173" spans="1:10" x14ac:dyDescent="0.2">
      <c r="A173" s="25"/>
      <c r="C173"/>
      <c r="D173" s="36"/>
      <c r="E173"/>
      <c r="F173"/>
      <c r="G173"/>
      <c r="H173" s="27"/>
    </row>
    <row r="174" spans="1:10" x14ac:dyDescent="0.2">
      <c r="A174" s="25"/>
      <c r="B174" s="5" t="s">
        <v>192</v>
      </c>
      <c r="C174" s="5"/>
      <c r="D174" s="37"/>
      <c r="E174" s="28"/>
      <c r="F174" s="28"/>
      <c r="H174" s="27"/>
    </row>
    <row r="175" spans="1:10" x14ac:dyDescent="0.2">
      <c r="A175" s="25"/>
      <c r="B175" s="28"/>
      <c r="C175" s="28"/>
      <c r="D175" s="15"/>
      <c r="E175" s="28"/>
      <c r="F175" s="28"/>
      <c r="H175" s="27"/>
    </row>
    <row r="176" spans="1:10" x14ac:dyDescent="0.2">
      <c r="A176" s="25"/>
      <c r="B176" s="104" t="s">
        <v>193</v>
      </c>
      <c r="C176" s="104"/>
      <c r="D176" s="102"/>
      <c r="E176" s="102"/>
      <c r="F176" s="102"/>
      <c r="H176" s="27"/>
    </row>
    <row r="177" spans="1:8" x14ac:dyDescent="0.2">
      <c r="A177" s="25"/>
      <c r="B177" s="2"/>
      <c r="C177" s="2"/>
      <c r="D177" s="102"/>
      <c r="E177" s="102"/>
      <c r="F177" s="102"/>
      <c r="H177" s="27"/>
    </row>
    <row r="178" spans="1:8" x14ac:dyDescent="0.2">
      <c r="A178" s="25"/>
      <c r="B178" s="104" t="s">
        <v>194</v>
      </c>
      <c r="C178" s="104"/>
      <c r="D178" s="105" t="s">
        <v>195</v>
      </c>
      <c r="E178" s="105"/>
      <c r="F178" s="105"/>
      <c r="H178" s="27"/>
    </row>
    <row r="179" spans="1:8" x14ac:dyDescent="0.2">
      <c r="A179" s="25"/>
      <c r="B179" s="35"/>
      <c r="C179" s="35"/>
      <c r="D179" s="106"/>
      <c r="E179" s="106"/>
      <c r="F179" s="106"/>
      <c r="H179" s="27"/>
    </row>
    <row r="180" spans="1:8" x14ac:dyDescent="0.2">
      <c r="A180" s="25"/>
      <c r="B180" s="104" t="s">
        <v>196</v>
      </c>
      <c r="C180" s="104"/>
      <c r="D180" s="106"/>
      <c r="E180" s="106"/>
      <c r="F180" s="106"/>
      <c r="H180" s="27"/>
    </row>
    <row r="181" spans="1:8" x14ac:dyDescent="0.2">
      <c r="A181" s="25"/>
      <c r="B181" s="35"/>
      <c r="C181" s="35"/>
      <c r="D181" s="102"/>
      <c r="E181" s="102"/>
      <c r="F181" s="102"/>
      <c r="H181" s="27"/>
    </row>
    <row r="182" spans="1:8" x14ac:dyDescent="0.2">
      <c r="A182" s="25"/>
      <c r="B182" s="103" t="s">
        <v>197</v>
      </c>
      <c r="C182" s="103"/>
      <c r="D182" s="38" t="s">
        <v>198</v>
      </c>
      <c r="E182" s="39"/>
      <c r="F182" s="39"/>
      <c r="H182" s="27"/>
    </row>
    <row r="183" spans="1:8" x14ac:dyDescent="0.2">
      <c r="A183" s="40"/>
      <c r="B183" s="41"/>
      <c r="C183" s="41"/>
      <c r="D183" s="42"/>
      <c r="E183" s="41"/>
      <c r="F183" s="41"/>
      <c r="G183" s="41"/>
      <c r="H183" s="43"/>
    </row>
  </sheetData>
  <mergeCells count="34">
    <mergeCell ref="B11:G11"/>
    <mergeCell ref="B7:G7"/>
    <mergeCell ref="B8:G8"/>
    <mergeCell ref="B9:G9"/>
    <mergeCell ref="B54:F54"/>
    <mergeCell ref="B10:G10"/>
    <mergeCell ref="C3:G3"/>
    <mergeCell ref="C2:G2"/>
    <mergeCell ref="B5:G5"/>
    <mergeCell ref="C4:G4"/>
    <mergeCell ref="B170:F170"/>
    <mergeCell ref="B156:F156"/>
    <mergeCell ref="B169:G169"/>
    <mergeCell ref="B55:G55"/>
    <mergeCell ref="B56:G56"/>
    <mergeCell ref="B91:F91"/>
    <mergeCell ref="B115:G115"/>
    <mergeCell ref="B116:G116"/>
    <mergeCell ref="B113:F113"/>
    <mergeCell ref="B93:G93"/>
    <mergeCell ref="B94:G94"/>
    <mergeCell ref="C158:H158"/>
    <mergeCell ref="B57:G57"/>
    <mergeCell ref="D181:F181"/>
    <mergeCell ref="B182:C182"/>
    <mergeCell ref="B172:G172"/>
    <mergeCell ref="B176:C176"/>
    <mergeCell ref="D176:F177"/>
    <mergeCell ref="B178:C178"/>
    <mergeCell ref="D178:F178"/>
    <mergeCell ref="D179:F180"/>
    <mergeCell ref="B180:C180"/>
    <mergeCell ref="C159:H159"/>
    <mergeCell ref="B168:F168"/>
  </mergeCells>
  <phoneticPr fontId="2" type="noConversion"/>
  <printOptions horizontalCentered="1"/>
  <pageMargins left="0.59055118110236204" right="0.196850393700787" top="0.74803149606299202" bottom="0.39370078740157499" header="0.118110236220472" footer="0.118110236220472"/>
  <pageSetup paperSize="9" scale="34" fitToHeight="0" orientation="portrait" r:id="rId1"/>
  <headerFooter>
    <oddFooter>&amp;L&amp;F&amp;C&amp;A&amp;RPage &amp;P of &amp;N</oddFooter>
  </headerFooter>
  <rowBreaks count="6" manualBreakCount="6">
    <brk id="24" max="7" man="1"/>
    <brk id="39" max="7" man="1"/>
    <brk id="55" max="7" man="1"/>
    <brk id="114" max="7" man="1"/>
    <brk id="132" max="7" man="1"/>
    <brk id="14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4695-AFE8-4606-A88D-904A17686DD5}">
  <sheetPr>
    <tabColor rgb="FFFFFF00"/>
  </sheetPr>
  <dimension ref="A1:N218"/>
  <sheetViews>
    <sheetView showGridLines="0" view="pageBreakPreview" topLeftCell="A47" zoomScale="138" zoomScaleNormal="93" zoomScaleSheetLayoutView="138" workbookViewId="0">
      <selection activeCell="G52" sqref="G52"/>
    </sheetView>
  </sheetViews>
  <sheetFormatPr baseColWidth="10" defaultColWidth="9.1640625" defaultRowHeight="16" x14ac:dyDescent="0.2"/>
  <cols>
    <col min="1" max="1" width="2.1640625" style="1" customWidth="1"/>
    <col min="2" max="2" width="5.6640625" style="1" customWidth="1"/>
    <col min="3" max="3" width="76.1640625" style="1" customWidth="1"/>
    <col min="4" max="4" width="12.6640625" style="20" customWidth="1"/>
    <col min="5" max="5" width="9.6640625" style="1" customWidth="1"/>
    <col min="6" max="6" width="13.6640625" style="1" customWidth="1"/>
    <col min="7" max="7" width="19.5" style="1" customWidth="1"/>
    <col min="8" max="8" width="2.1640625" style="1" customWidth="1"/>
    <col min="9" max="9" width="71.6640625" style="1" customWidth="1"/>
    <col min="10" max="10" width="35.83203125" style="1" customWidth="1"/>
    <col min="11" max="16384" width="9.1640625" style="1"/>
  </cols>
  <sheetData>
    <row r="1" spans="1:10" x14ac:dyDescent="0.2">
      <c r="A1" s="21"/>
      <c r="B1" s="22"/>
      <c r="C1" s="22"/>
      <c r="D1" s="23"/>
      <c r="E1" s="22"/>
      <c r="F1" s="22"/>
      <c r="G1" s="22"/>
      <c r="H1" s="24"/>
    </row>
    <row r="2" spans="1:10" ht="19" x14ac:dyDescent="0.25">
      <c r="A2" s="25"/>
      <c r="B2" s="26"/>
      <c r="C2" s="108" t="s">
        <v>0</v>
      </c>
      <c r="D2" s="108"/>
      <c r="E2" s="108"/>
      <c r="F2" s="108"/>
      <c r="G2" s="108"/>
      <c r="H2" s="27"/>
    </row>
    <row r="3" spans="1:10" ht="19" x14ac:dyDescent="0.25">
      <c r="A3" s="25"/>
      <c r="B3" s="26"/>
      <c r="C3" s="108" t="s">
        <v>1</v>
      </c>
      <c r="D3" s="108"/>
      <c r="E3" s="108"/>
      <c r="F3" s="108"/>
      <c r="G3" s="108"/>
      <c r="H3" s="27"/>
    </row>
    <row r="4" spans="1:10" ht="19" x14ac:dyDescent="0.25">
      <c r="A4" s="25"/>
      <c r="B4" s="26"/>
      <c r="C4" s="108" t="s">
        <v>2</v>
      </c>
      <c r="D4" s="108"/>
      <c r="E4" s="108"/>
      <c r="F4" s="108"/>
      <c r="G4" s="108"/>
      <c r="H4" s="27"/>
    </row>
    <row r="5" spans="1:10" ht="33.75" customHeight="1" x14ac:dyDescent="0.2">
      <c r="A5" s="25"/>
      <c r="B5" s="109" t="s">
        <v>3</v>
      </c>
      <c r="C5" s="109"/>
      <c r="D5" s="109"/>
      <c r="E5" s="109"/>
      <c r="F5" s="109"/>
      <c r="G5" s="109"/>
      <c r="H5" s="27"/>
    </row>
    <row r="6" spans="1:10" x14ac:dyDescent="0.2">
      <c r="A6" s="25"/>
      <c r="B6" s="28"/>
      <c r="C6" s="28"/>
      <c r="D6" s="15"/>
      <c r="E6" s="28"/>
      <c r="F6" s="28"/>
      <c r="G6" s="29"/>
      <c r="H6" s="27"/>
    </row>
    <row r="7" spans="1:10" ht="80.25" customHeight="1" x14ac:dyDescent="0.2">
      <c r="A7" s="25"/>
      <c r="B7" s="118" t="s">
        <v>4</v>
      </c>
      <c r="C7" s="118"/>
      <c r="D7" s="118"/>
      <c r="E7" s="118"/>
      <c r="F7" s="118"/>
      <c r="G7" s="118"/>
      <c r="H7" s="27"/>
      <c r="J7" s="2"/>
    </row>
    <row r="8" spans="1:10" ht="9" customHeight="1" x14ac:dyDescent="0.2">
      <c r="A8" s="25"/>
      <c r="B8" s="119"/>
      <c r="C8" s="120"/>
      <c r="D8" s="120"/>
      <c r="E8" s="120"/>
      <c r="F8" s="120"/>
      <c r="G8" s="121"/>
      <c r="H8" s="27"/>
    </row>
    <row r="9" spans="1:10" ht="19" x14ac:dyDescent="0.2">
      <c r="A9" s="25"/>
      <c r="B9" s="124" t="s">
        <v>199</v>
      </c>
      <c r="C9" s="124"/>
      <c r="D9" s="124"/>
      <c r="E9" s="124"/>
      <c r="F9" s="124"/>
      <c r="G9" s="124"/>
      <c r="H9" s="27"/>
    </row>
    <row r="10" spans="1:10" x14ac:dyDescent="0.2">
      <c r="A10" s="25"/>
      <c r="B10" s="125" t="s">
        <v>200</v>
      </c>
      <c r="C10" s="125"/>
      <c r="D10" s="125"/>
      <c r="E10" s="125"/>
      <c r="F10" s="125"/>
      <c r="G10" s="125"/>
      <c r="H10" s="27"/>
    </row>
    <row r="11" spans="1:10" x14ac:dyDescent="0.2">
      <c r="A11" s="25"/>
      <c r="B11" s="117"/>
      <c r="C11" s="117"/>
      <c r="D11" s="117"/>
      <c r="E11" s="117"/>
      <c r="F11" s="117"/>
      <c r="G11" s="117"/>
      <c r="H11" s="27"/>
    </row>
    <row r="12" spans="1:10" x14ac:dyDescent="0.2">
      <c r="A12" s="25"/>
      <c r="B12" s="8" t="s">
        <v>7</v>
      </c>
      <c r="C12" s="8" t="s">
        <v>8</v>
      </c>
      <c r="D12" s="16" t="s">
        <v>9</v>
      </c>
      <c r="E12" s="8" t="s">
        <v>10</v>
      </c>
      <c r="F12" s="10" t="s">
        <v>201</v>
      </c>
      <c r="G12" s="10" t="s">
        <v>12</v>
      </c>
      <c r="H12" s="30"/>
    </row>
    <row r="13" spans="1:10" ht="34" x14ac:dyDescent="0.2">
      <c r="A13" s="25"/>
      <c r="B13" s="8">
        <v>1</v>
      </c>
      <c r="C13" s="68" t="s">
        <v>202</v>
      </c>
      <c r="D13" s="18">
        <f>9*2.8</f>
        <v>25.2</v>
      </c>
      <c r="E13" s="7" t="s">
        <v>19</v>
      </c>
      <c r="F13" s="18">
        <v>300</v>
      </c>
      <c r="G13" s="94">
        <f t="shared" ref="G13" si="0">D13*F13</f>
        <v>7560</v>
      </c>
      <c r="H13" s="30"/>
    </row>
    <row r="14" spans="1:10" ht="409.5" customHeight="1" x14ac:dyDescent="0.2">
      <c r="A14" s="25"/>
      <c r="B14" s="8"/>
      <c r="C14" s="44" t="s">
        <v>203</v>
      </c>
      <c r="D14" s="76"/>
      <c r="E14" s="76"/>
      <c r="F14" s="76"/>
      <c r="G14" s="76"/>
      <c r="H14" s="30"/>
    </row>
    <row r="15" spans="1:10" x14ac:dyDescent="0.2">
      <c r="A15" s="25"/>
      <c r="B15" s="7">
        <v>2</v>
      </c>
      <c r="C15" s="11" t="s">
        <v>204</v>
      </c>
      <c r="D15" s="76"/>
      <c r="E15" s="76"/>
      <c r="F15" s="76"/>
      <c r="G15" s="76"/>
      <c r="H15" s="30"/>
      <c r="J15" s="122"/>
    </row>
    <row r="16" spans="1:10" ht="38.5" customHeight="1" x14ac:dyDescent="0.2">
      <c r="A16" s="25"/>
      <c r="B16" s="7">
        <v>2.1</v>
      </c>
      <c r="C16" s="45" t="s">
        <v>205</v>
      </c>
      <c r="D16" s="18">
        <f>(4+3.5+3.5+4+2+1)*3.5-3*2</f>
        <v>57</v>
      </c>
      <c r="E16" s="7" t="s">
        <v>19</v>
      </c>
      <c r="F16" s="18">
        <v>50</v>
      </c>
      <c r="G16" s="94">
        <f t="shared" ref="G16" si="1">D16*F16</f>
        <v>2850</v>
      </c>
      <c r="H16" s="30"/>
      <c r="J16" s="122"/>
    </row>
    <row r="17" spans="1:14" ht="17" x14ac:dyDescent="0.2">
      <c r="A17" s="25"/>
      <c r="B17" s="7">
        <v>2.2000000000000002</v>
      </c>
      <c r="C17" s="45" t="s">
        <v>206</v>
      </c>
      <c r="D17" s="18">
        <f>(2.4+3+2.5)*1.2</f>
        <v>9.48</v>
      </c>
      <c r="E17" s="7" t="s">
        <v>19</v>
      </c>
      <c r="F17" s="18">
        <v>50</v>
      </c>
      <c r="G17" s="94">
        <f t="shared" ref="G17:G19" si="2">D17*F17</f>
        <v>474</v>
      </c>
      <c r="H17" s="30"/>
      <c r="J17" s="3"/>
    </row>
    <row r="18" spans="1:14" ht="34" x14ac:dyDescent="0.2">
      <c r="A18" s="25"/>
      <c r="B18" s="7">
        <v>2.2999999999999998</v>
      </c>
      <c r="C18" s="45" t="s">
        <v>207</v>
      </c>
      <c r="D18" s="18">
        <f>(8+2.4+3+3.5+6.5)*1.45</f>
        <v>33.93</v>
      </c>
      <c r="E18" s="7" t="s">
        <v>19</v>
      </c>
      <c r="F18" s="18">
        <v>40</v>
      </c>
      <c r="G18" s="94">
        <f t="shared" si="2"/>
        <v>1357.2</v>
      </c>
      <c r="H18" s="30"/>
      <c r="J18" s="3"/>
    </row>
    <row r="19" spans="1:14" ht="34" x14ac:dyDescent="0.2">
      <c r="A19" s="25"/>
      <c r="B19" s="7">
        <v>2.4</v>
      </c>
      <c r="C19" s="45" t="s">
        <v>208</v>
      </c>
      <c r="D19" s="18">
        <v>9.3000000000000007</v>
      </c>
      <c r="E19" s="7" t="s">
        <v>19</v>
      </c>
      <c r="F19" s="18">
        <v>150</v>
      </c>
      <c r="G19" s="94">
        <f t="shared" si="2"/>
        <v>1395</v>
      </c>
      <c r="H19" s="30"/>
      <c r="J19" s="3"/>
    </row>
    <row r="20" spans="1:14" ht="34" x14ac:dyDescent="0.2">
      <c r="A20" s="25"/>
      <c r="B20" s="7">
        <v>2.5</v>
      </c>
      <c r="C20" s="45" t="s">
        <v>209</v>
      </c>
      <c r="D20" s="76"/>
      <c r="E20" s="76"/>
      <c r="F20" s="76"/>
      <c r="G20" s="76"/>
      <c r="H20" s="30"/>
      <c r="J20" s="3"/>
    </row>
    <row r="21" spans="1:14" ht="17" x14ac:dyDescent="0.2">
      <c r="A21" s="25"/>
      <c r="B21" s="7" t="s">
        <v>210</v>
      </c>
      <c r="C21" s="45" t="s">
        <v>211</v>
      </c>
      <c r="D21" s="18">
        <f>7*0.4+7*1.1+5*1.1*0.4</f>
        <v>12.700000000000003</v>
      </c>
      <c r="E21" s="7" t="s">
        <v>19</v>
      </c>
      <c r="F21" s="18">
        <v>70</v>
      </c>
      <c r="G21" s="94">
        <f>D21*F21</f>
        <v>889.00000000000023</v>
      </c>
      <c r="H21" s="30"/>
      <c r="J21" s="3"/>
    </row>
    <row r="22" spans="1:14" ht="17" x14ac:dyDescent="0.2">
      <c r="A22" s="25"/>
      <c r="B22" s="7" t="s">
        <v>212</v>
      </c>
      <c r="C22" s="45" t="s">
        <v>213</v>
      </c>
      <c r="D22" s="18">
        <f>5.3*0.4+5.3*1.1+4*1.1*0.4</f>
        <v>9.7100000000000009</v>
      </c>
      <c r="E22" s="7" t="s">
        <v>19</v>
      </c>
      <c r="F22" s="18">
        <v>70</v>
      </c>
      <c r="G22" s="94">
        <f>D22*F22</f>
        <v>679.7</v>
      </c>
      <c r="H22" s="30"/>
      <c r="J22" s="3"/>
    </row>
    <row r="23" spans="1:14" ht="17" x14ac:dyDescent="0.2">
      <c r="A23" s="25"/>
      <c r="B23" s="7">
        <v>2.6</v>
      </c>
      <c r="C23" s="45" t="s">
        <v>214</v>
      </c>
      <c r="D23" s="18">
        <v>3</v>
      </c>
      <c r="E23" s="7" t="s">
        <v>19</v>
      </c>
      <c r="F23" s="18">
        <v>35</v>
      </c>
      <c r="G23" s="94">
        <f t="shared" ref="G23" si="3">D23*F23</f>
        <v>105</v>
      </c>
      <c r="H23" s="30"/>
      <c r="J23" s="3"/>
    </row>
    <row r="24" spans="1:14" ht="34" x14ac:dyDescent="0.2">
      <c r="A24" s="25"/>
      <c r="B24" s="7">
        <v>2.7</v>
      </c>
      <c r="C24" s="45" t="s">
        <v>215</v>
      </c>
      <c r="D24" s="18">
        <f>18*1.1</f>
        <v>19.8</v>
      </c>
      <c r="E24" s="7" t="s">
        <v>19</v>
      </c>
      <c r="F24" s="18">
        <v>60</v>
      </c>
      <c r="G24" s="94">
        <f t="shared" ref="G24" si="4">D24*F24</f>
        <v>1188</v>
      </c>
      <c r="H24" s="30"/>
      <c r="J24" s="3"/>
    </row>
    <row r="25" spans="1:14" ht="409.5" customHeight="1" x14ac:dyDescent="0.2">
      <c r="A25" s="25"/>
      <c r="B25" s="7"/>
      <c r="C25" s="44" t="s">
        <v>216</v>
      </c>
      <c r="D25" s="76"/>
      <c r="E25" s="76"/>
      <c r="F25" s="76"/>
      <c r="G25" s="76"/>
      <c r="H25" s="30"/>
      <c r="I25" s="7"/>
      <c r="J25" s="45"/>
      <c r="K25" s="18"/>
      <c r="L25" s="7"/>
      <c r="M25" s="13"/>
      <c r="N25" s="69"/>
    </row>
    <row r="26" spans="1:14" ht="17" x14ac:dyDescent="0.2">
      <c r="A26" s="25"/>
      <c r="B26" s="7">
        <v>3</v>
      </c>
      <c r="C26" s="45" t="s">
        <v>217</v>
      </c>
      <c r="D26" s="76"/>
      <c r="E26" s="76"/>
      <c r="F26" s="76"/>
      <c r="G26" s="76"/>
      <c r="H26" s="30"/>
      <c r="I26" s="8"/>
      <c r="J26" s="44"/>
      <c r="K26" s="16"/>
      <c r="L26" s="8"/>
      <c r="M26" s="10"/>
      <c r="N26" s="10"/>
    </row>
    <row r="27" spans="1:14" ht="17" x14ac:dyDescent="0.2">
      <c r="A27" s="25"/>
      <c r="B27" s="7">
        <v>3.1</v>
      </c>
      <c r="C27" s="45" t="s">
        <v>218</v>
      </c>
      <c r="D27" s="18">
        <f>3.3*3.5</f>
        <v>11.549999999999999</v>
      </c>
      <c r="E27" s="7" t="s">
        <v>19</v>
      </c>
      <c r="F27" s="18">
        <v>90</v>
      </c>
      <c r="G27" s="94">
        <f t="shared" ref="G27:G29" si="5">D27*F27</f>
        <v>1039.5</v>
      </c>
      <c r="H27" s="30"/>
      <c r="J27" s="3"/>
    </row>
    <row r="28" spans="1:14" ht="17" x14ac:dyDescent="0.2">
      <c r="A28" s="25"/>
      <c r="B28" s="7">
        <v>3.2</v>
      </c>
      <c r="C28" s="45" t="s">
        <v>219</v>
      </c>
      <c r="D28" s="18">
        <f>3.4*1.2</f>
        <v>4.08</v>
      </c>
      <c r="E28" s="7" t="s">
        <v>19</v>
      </c>
      <c r="F28" s="18">
        <v>90</v>
      </c>
      <c r="G28" s="94">
        <f t="shared" si="5"/>
        <v>367.2</v>
      </c>
      <c r="H28" s="30"/>
      <c r="J28" s="3"/>
    </row>
    <row r="29" spans="1:14" ht="34" x14ac:dyDescent="0.2">
      <c r="A29" s="25"/>
      <c r="B29" s="7">
        <v>3.3</v>
      </c>
      <c r="C29" s="45" t="s">
        <v>220</v>
      </c>
      <c r="D29" s="18">
        <f>4.5*1.45</f>
        <v>6.5249999999999995</v>
      </c>
      <c r="E29" s="7" t="s">
        <v>19</v>
      </c>
      <c r="F29" s="18">
        <v>90</v>
      </c>
      <c r="G29" s="94">
        <f t="shared" si="5"/>
        <v>587.25</v>
      </c>
      <c r="H29" s="30"/>
      <c r="J29" s="3"/>
    </row>
    <row r="30" spans="1:14" ht="374" customHeight="1" x14ac:dyDescent="0.2">
      <c r="A30" s="25"/>
      <c r="B30" s="7"/>
      <c r="C30" s="44" t="s">
        <v>221</v>
      </c>
      <c r="D30" s="76"/>
      <c r="E30" s="76"/>
      <c r="F30" s="18"/>
      <c r="G30" s="76"/>
      <c r="H30" s="30"/>
      <c r="J30" s="3"/>
    </row>
    <row r="31" spans="1:14" ht="19.5" customHeight="1" x14ac:dyDescent="0.2">
      <c r="A31" s="25"/>
      <c r="B31" s="7">
        <v>4</v>
      </c>
      <c r="C31" s="92" t="s">
        <v>222</v>
      </c>
      <c r="D31" s="76"/>
      <c r="E31" s="76"/>
      <c r="F31" s="18"/>
      <c r="G31" s="76"/>
      <c r="H31" s="30"/>
      <c r="J31" s="3"/>
    </row>
    <row r="32" spans="1:14" ht="29.5" customHeight="1" x14ac:dyDescent="0.2">
      <c r="A32" s="25"/>
      <c r="B32" s="7">
        <v>4.0999999999999996</v>
      </c>
      <c r="C32" s="45" t="s">
        <v>223</v>
      </c>
      <c r="D32" s="18">
        <v>1</v>
      </c>
      <c r="E32" s="7" t="s">
        <v>224</v>
      </c>
      <c r="F32" s="18">
        <f>(7.6*1.5+1.1*2.5)*250</f>
        <v>3537.4999999999995</v>
      </c>
      <c r="G32" s="94">
        <f t="shared" ref="G32:G34" si="6">D32*F32</f>
        <v>3537.4999999999995</v>
      </c>
      <c r="H32" s="30"/>
      <c r="J32" s="3"/>
    </row>
    <row r="33" spans="1:10" ht="29.5" customHeight="1" x14ac:dyDescent="0.2">
      <c r="A33" s="25"/>
      <c r="B33" s="7">
        <v>4.2</v>
      </c>
      <c r="C33" s="45" t="s">
        <v>225</v>
      </c>
      <c r="D33" s="18">
        <v>1</v>
      </c>
      <c r="E33" s="7" t="s">
        <v>224</v>
      </c>
      <c r="F33" s="18">
        <f>(5.3*1.5+1.1*2.5)*250</f>
        <v>2675</v>
      </c>
      <c r="G33" s="94">
        <f t="shared" si="6"/>
        <v>2675</v>
      </c>
      <c r="H33" s="30"/>
      <c r="J33" s="3"/>
    </row>
    <row r="34" spans="1:10" ht="29.5" customHeight="1" x14ac:dyDescent="0.2">
      <c r="A34" s="25"/>
      <c r="B34" s="7">
        <v>4.3</v>
      </c>
      <c r="C34" s="45" t="s">
        <v>226</v>
      </c>
      <c r="D34" s="18">
        <v>1</v>
      </c>
      <c r="E34" s="7" t="s">
        <v>224</v>
      </c>
      <c r="F34" s="18">
        <f>(3*1.5)*250</f>
        <v>1125</v>
      </c>
      <c r="G34" s="94">
        <f t="shared" si="6"/>
        <v>1125</v>
      </c>
      <c r="H34" s="30"/>
      <c r="J34" s="3"/>
    </row>
    <row r="35" spans="1:10" ht="29.5" customHeight="1" x14ac:dyDescent="0.2">
      <c r="A35" s="25"/>
      <c r="B35" s="7">
        <v>4.4000000000000004</v>
      </c>
      <c r="C35" s="45" t="s">
        <v>227</v>
      </c>
      <c r="D35" s="18">
        <v>1</v>
      </c>
      <c r="E35" s="7" t="s">
        <v>224</v>
      </c>
      <c r="F35" s="18">
        <f>(2.4*2.5+1.1*2.5)*250</f>
        <v>2187.5</v>
      </c>
      <c r="G35" s="94">
        <f t="shared" ref="G35" si="7">D35*F35</f>
        <v>2187.5</v>
      </c>
      <c r="H35" s="30"/>
      <c r="J35" s="3"/>
    </row>
    <row r="36" spans="1:10" ht="29.5" customHeight="1" x14ac:dyDescent="0.2">
      <c r="A36" s="25"/>
      <c r="B36" s="7">
        <v>4.5</v>
      </c>
      <c r="C36" s="45" t="s">
        <v>228</v>
      </c>
      <c r="D36" s="18">
        <v>1</v>
      </c>
      <c r="E36" s="7" t="s">
        <v>224</v>
      </c>
      <c r="F36" s="18">
        <f>(2.4*1.5)*250</f>
        <v>899.99999999999989</v>
      </c>
      <c r="G36" s="94">
        <f t="shared" ref="G36:G37" si="8">D36*F36</f>
        <v>899.99999999999989</v>
      </c>
      <c r="H36" s="30"/>
      <c r="J36" s="3"/>
    </row>
    <row r="37" spans="1:10" ht="29.5" customHeight="1" x14ac:dyDescent="0.2">
      <c r="A37" s="25"/>
      <c r="B37" s="7">
        <v>4.5999999999999996</v>
      </c>
      <c r="C37" s="45" t="s">
        <v>229</v>
      </c>
      <c r="D37" s="18">
        <v>1</v>
      </c>
      <c r="E37" s="7" t="s">
        <v>224</v>
      </c>
      <c r="F37" s="18">
        <f>(1.1*1.5+1.1*2.5)*250</f>
        <v>1100</v>
      </c>
      <c r="G37" s="94">
        <f t="shared" si="8"/>
        <v>1100</v>
      </c>
      <c r="H37" s="30"/>
      <c r="J37" s="3"/>
    </row>
    <row r="38" spans="1:10" ht="266" customHeight="1" x14ac:dyDescent="0.2">
      <c r="A38" s="25"/>
      <c r="B38" s="7"/>
      <c r="C38" s="44" t="s">
        <v>230</v>
      </c>
      <c r="D38" s="76"/>
      <c r="E38" s="76"/>
      <c r="F38" s="18"/>
      <c r="G38" s="76"/>
      <c r="H38" s="30"/>
      <c r="J38" s="3"/>
    </row>
    <row r="39" spans="1:10" ht="37" customHeight="1" x14ac:dyDescent="0.2">
      <c r="A39" s="25"/>
      <c r="B39" s="7">
        <v>5</v>
      </c>
      <c r="C39" s="45" t="s">
        <v>231</v>
      </c>
      <c r="D39" s="18">
        <v>2</v>
      </c>
      <c r="E39" s="7" t="s">
        <v>224</v>
      </c>
      <c r="F39" s="18">
        <v>750</v>
      </c>
      <c r="G39" s="94">
        <f t="shared" ref="G39" si="9">D39*F39</f>
        <v>1500</v>
      </c>
      <c r="H39" s="30"/>
      <c r="J39" s="3"/>
    </row>
    <row r="40" spans="1:10" ht="265.5" customHeight="1" x14ac:dyDescent="0.2">
      <c r="A40" s="25"/>
      <c r="B40" s="7"/>
      <c r="C40" s="44" t="s">
        <v>232</v>
      </c>
      <c r="D40" s="76"/>
      <c r="E40" s="76"/>
      <c r="F40" s="76"/>
      <c r="G40" s="76"/>
      <c r="H40" s="30"/>
      <c r="J40" s="3"/>
    </row>
    <row r="41" spans="1:10" ht="17" x14ac:dyDescent="0.2">
      <c r="A41" s="25"/>
      <c r="B41" s="7">
        <v>6</v>
      </c>
      <c r="C41" s="45" t="s">
        <v>233</v>
      </c>
      <c r="D41" s="76"/>
      <c r="E41" s="76"/>
      <c r="F41" s="76"/>
      <c r="G41" s="76"/>
      <c r="H41" s="30"/>
      <c r="J41" s="3"/>
    </row>
    <row r="42" spans="1:10" ht="37.5" customHeight="1" x14ac:dyDescent="0.2">
      <c r="B42" s="7">
        <v>6.1</v>
      </c>
      <c r="C42" s="9" t="s">
        <v>234</v>
      </c>
      <c r="D42" s="18">
        <v>3</v>
      </c>
      <c r="E42" s="7" t="s">
        <v>224</v>
      </c>
      <c r="F42" s="18">
        <v>300</v>
      </c>
      <c r="G42" s="94">
        <f t="shared" ref="G42" si="10">D42*F42</f>
        <v>900</v>
      </c>
      <c r="H42" s="30"/>
      <c r="J42" s="3"/>
    </row>
    <row r="43" spans="1:10" ht="125" customHeight="1" x14ac:dyDescent="0.2">
      <c r="B43" s="7"/>
      <c r="C43" s="44" t="s">
        <v>235</v>
      </c>
      <c r="D43" s="76"/>
      <c r="E43" s="76"/>
      <c r="F43" s="76"/>
      <c r="G43" s="76"/>
      <c r="H43" s="30"/>
      <c r="J43" s="3"/>
    </row>
    <row r="44" spans="1:10" ht="17" x14ac:dyDescent="0.2">
      <c r="B44" s="7">
        <v>6.2</v>
      </c>
      <c r="C44" s="9" t="s">
        <v>236</v>
      </c>
      <c r="D44" s="18">
        <v>1</v>
      </c>
      <c r="E44" s="52" t="s">
        <v>224</v>
      </c>
      <c r="F44" s="18">
        <v>200</v>
      </c>
      <c r="G44" s="94">
        <f t="shared" ref="G44" si="11">D44*F44</f>
        <v>200</v>
      </c>
      <c r="H44" s="30"/>
      <c r="J44" s="3"/>
    </row>
    <row r="45" spans="1:10" ht="120" customHeight="1" x14ac:dyDescent="0.2">
      <c r="B45" s="7"/>
      <c r="C45" s="90" t="s">
        <v>237</v>
      </c>
      <c r="D45" s="76"/>
      <c r="E45" s="76"/>
      <c r="F45" s="76"/>
      <c r="G45" s="76"/>
      <c r="H45" s="30"/>
      <c r="J45" s="3"/>
    </row>
    <row r="46" spans="1:10" ht="39.75" customHeight="1" x14ac:dyDescent="0.2">
      <c r="B46" s="48">
        <v>12</v>
      </c>
      <c r="C46" s="45" t="s">
        <v>238</v>
      </c>
      <c r="D46" s="76"/>
      <c r="E46" s="76"/>
      <c r="F46" s="76"/>
      <c r="G46" s="76"/>
      <c r="H46" s="30"/>
      <c r="J46" s="3"/>
    </row>
    <row r="47" spans="1:10" ht="202.5" customHeight="1" x14ac:dyDescent="0.2">
      <c r="B47" s="48"/>
      <c r="C47" s="44" t="s">
        <v>239</v>
      </c>
      <c r="D47" s="76"/>
      <c r="E47" s="76"/>
      <c r="F47" s="76"/>
      <c r="G47" s="76"/>
      <c r="H47" s="30"/>
      <c r="J47" s="3"/>
    </row>
    <row r="48" spans="1:10" ht="17" x14ac:dyDescent="0.2">
      <c r="A48" s="25"/>
      <c r="B48" s="7">
        <v>12.1</v>
      </c>
      <c r="C48" s="79" t="s">
        <v>240</v>
      </c>
      <c r="D48" s="18">
        <f>7+5.5</f>
        <v>12.5</v>
      </c>
      <c r="E48" s="7" t="s">
        <v>27</v>
      </c>
      <c r="F48" s="18">
        <v>30</v>
      </c>
      <c r="G48" s="94">
        <f t="shared" ref="G48:G50" si="12">D48*F48</f>
        <v>375</v>
      </c>
      <c r="H48" s="32"/>
    </row>
    <row r="49" spans="1:10" ht="17" x14ac:dyDescent="0.2">
      <c r="A49" s="25"/>
      <c r="B49" s="7">
        <v>12.2</v>
      </c>
      <c r="C49" s="79" t="s">
        <v>241</v>
      </c>
      <c r="D49" s="18">
        <v>3.8</v>
      </c>
      <c r="E49" s="7" t="s">
        <v>27</v>
      </c>
      <c r="F49" s="18">
        <v>25</v>
      </c>
      <c r="G49" s="94">
        <f t="shared" ref="G49" si="13">D49*F49</f>
        <v>95</v>
      </c>
      <c r="H49" s="32"/>
    </row>
    <row r="50" spans="1:10" ht="17" x14ac:dyDescent="0.2">
      <c r="A50" s="25"/>
      <c r="B50" s="7">
        <v>12.3</v>
      </c>
      <c r="C50" s="79" t="s">
        <v>242</v>
      </c>
      <c r="D50" s="18">
        <v>14.5</v>
      </c>
      <c r="E50" s="7" t="s">
        <v>27</v>
      </c>
      <c r="F50" s="18">
        <v>20</v>
      </c>
      <c r="G50" s="94">
        <f t="shared" si="12"/>
        <v>290</v>
      </c>
      <c r="H50" s="27"/>
    </row>
    <row r="51" spans="1:10" x14ac:dyDescent="0.2">
      <c r="A51" s="25"/>
      <c r="B51" s="48"/>
      <c r="C51" s="79"/>
      <c r="D51" s="49"/>
      <c r="E51" s="50"/>
      <c r="F51" s="49"/>
      <c r="G51" s="93"/>
      <c r="H51" s="27"/>
    </row>
    <row r="52" spans="1:10" x14ac:dyDescent="0.2">
      <c r="A52" s="25"/>
      <c r="B52" s="107" t="s">
        <v>79</v>
      </c>
      <c r="C52" s="107"/>
      <c r="D52" s="107"/>
      <c r="E52" s="107"/>
      <c r="F52" s="107"/>
      <c r="G52" s="94">
        <f>SUM(G13:G50)</f>
        <v>33376.850000000006</v>
      </c>
      <c r="H52" s="27"/>
      <c r="J52" s="4"/>
    </row>
    <row r="53" spans="1:10" x14ac:dyDescent="0.2">
      <c r="A53" s="25"/>
      <c r="B53" s="74"/>
      <c r="C53" s="75"/>
      <c r="D53" s="75"/>
      <c r="E53" s="75"/>
      <c r="F53" s="75"/>
      <c r="G53" s="77"/>
      <c r="H53" s="27"/>
      <c r="J53" s="4"/>
    </row>
    <row r="54" spans="1:10" ht="19" x14ac:dyDescent="0.2">
      <c r="A54" s="25"/>
      <c r="B54" s="124" t="s">
        <v>243</v>
      </c>
      <c r="C54" s="124"/>
      <c r="D54" s="124"/>
      <c r="E54" s="124"/>
      <c r="F54" s="124"/>
      <c r="G54" s="124"/>
      <c r="H54" s="27"/>
    </row>
    <row r="55" spans="1:10" x14ac:dyDescent="0.2">
      <c r="A55" s="25"/>
      <c r="B55" s="123" t="s">
        <v>244</v>
      </c>
      <c r="C55" s="123"/>
      <c r="D55" s="123"/>
      <c r="E55" s="123"/>
      <c r="F55" s="123"/>
      <c r="G55" s="123"/>
      <c r="H55" s="27"/>
    </row>
    <row r="56" spans="1:10" x14ac:dyDescent="0.2">
      <c r="A56" s="25"/>
      <c r="B56" s="8" t="s">
        <v>7</v>
      </c>
      <c r="C56" s="8" t="s">
        <v>8</v>
      </c>
      <c r="D56" s="16" t="s">
        <v>9</v>
      </c>
      <c r="E56" s="8" t="s">
        <v>10</v>
      </c>
      <c r="F56" s="10" t="s">
        <v>11</v>
      </c>
      <c r="G56" s="10" t="s">
        <v>12</v>
      </c>
      <c r="H56" s="27"/>
    </row>
    <row r="57" spans="1:10" x14ac:dyDescent="0.2">
      <c r="A57" s="25"/>
      <c r="B57" s="7">
        <v>1</v>
      </c>
      <c r="C57" s="11" t="s">
        <v>245</v>
      </c>
      <c r="D57" s="76"/>
      <c r="E57" s="76"/>
      <c r="F57" s="76"/>
      <c r="G57" s="76"/>
      <c r="H57" s="27"/>
    </row>
    <row r="58" spans="1:10" ht="17" x14ac:dyDescent="0.2">
      <c r="A58" s="25"/>
      <c r="B58" s="7">
        <v>1.1000000000000001</v>
      </c>
      <c r="C58" s="45" t="s">
        <v>246</v>
      </c>
      <c r="D58" s="18">
        <f>7</f>
        <v>7</v>
      </c>
      <c r="E58" s="7" t="s">
        <v>19</v>
      </c>
      <c r="F58" s="18">
        <v>70</v>
      </c>
      <c r="G58" s="94">
        <f t="shared" ref="G58:G62" si="14">D58*F58</f>
        <v>490</v>
      </c>
      <c r="H58" s="27"/>
    </row>
    <row r="59" spans="1:10" ht="34" x14ac:dyDescent="0.2">
      <c r="A59" s="25"/>
      <c r="B59" s="7">
        <v>1.2</v>
      </c>
      <c r="C59" s="45" t="s">
        <v>247</v>
      </c>
      <c r="D59" s="18">
        <f>5*3.5</f>
        <v>17.5</v>
      </c>
      <c r="E59" s="7" t="s">
        <v>19</v>
      </c>
      <c r="F59" s="18">
        <v>60</v>
      </c>
      <c r="G59" s="94">
        <f t="shared" ref="G59" si="15">D59*F59</f>
        <v>1050</v>
      </c>
      <c r="H59" s="27"/>
    </row>
    <row r="60" spans="1:10" ht="51" x14ac:dyDescent="0.2">
      <c r="A60" s="25"/>
      <c r="B60" s="7">
        <v>1.2</v>
      </c>
      <c r="C60" s="45" t="s">
        <v>248</v>
      </c>
      <c r="D60" s="18">
        <v>3.5</v>
      </c>
      <c r="E60" s="7" t="s">
        <v>19</v>
      </c>
      <c r="F60" s="18">
        <v>60</v>
      </c>
      <c r="G60" s="94">
        <f t="shared" ref="G60" si="16">D60*F60</f>
        <v>210</v>
      </c>
      <c r="H60" s="27"/>
    </row>
    <row r="61" spans="1:10" ht="327.5" customHeight="1" x14ac:dyDescent="0.2">
      <c r="A61" s="25"/>
      <c r="B61" s="7"/>
      <c r="C61" s="44" t="s">
        <v>249</v>
      </c>
      <c r="D61" s="76"/>
      <c r="E61" s="76"/>
      <c r="F61" s="76"/>
      <c r="G61" s="76"/>
      <c r="H61" s="27"/>
    </row>
    <row r="62" spans="1:10" ht="23" customHeight="1" x14ac:dyDescent="0.2">
      <c r="A62" s="25"/>
      <c r="B62" s="7">
        <v>1.3</v>
      </c>
      <c r="C62" s="45" t="s">
        <v>250</v>
      </c>
      <c r="D62" s="18">
        <f>(9.7+2)*(0.4+1.1)</f>
        <v>17.549999999999997</v>
      </c>
      <c r="E62" s="7" t="s">
        <v>19</v>
      </c>
      <c r="F62" s="18">
        <v>60</v>
      </c>
      <c r="G62" s="94">
        <f t="shared" si="14"/>
        <v>1052.9999999999998</v>
      </c>
      <c r="H62" s="27"/>
    </row>
    <row r="63" spans="1:10" ht="34" x14ac:dyDescent="0.2">
      <c r="A63" s="25"/>
      <c r="B63" s="7" t="s">
        <v>251</v>
      </c>
      <c r="C63" s="45" t="s">
        <v>215</v>
      </c>
      <c r="D63" s="18">
        <f>4*1.6*1.1</f>
        <v>7.0400000000000009</v>
      </c>
      <c r="E63" s="7" t="s">
        <v>19</v>
      </c>
      <c r="F63" s="18">
        <v>70</v>
      </c>
      <c r="G63" s="94">
        <f t="shared" ref="G63" si="17">D63*F63</f>
        <v>492.80000000000007</v>
      </c>
      <c r="H63" s="27"/>
    </row>
    <row r="64" spans="1:10" ht="343" customHeight="1" x14ac:dyDescent="0.2">
      <c r="A64" s="25"/>
      <c r="B64" s="8"/>
      <c r="C64" s="44" t="s">
        <v>252</v>
      </c>
      <c r="D64" s="76"/>
      <c r="E64" s="76"/>
      <c r="F64" s="76"/>
      <c r="G64" s="76"/>
      <c r="H64" s="27"/>
    </row>
    <row r="65" spans="1:8" ht="17" x14ac:dyDescent="0.2">
      <c r="A65" s="25"/>
      <c r="B65" s="7">
        <v>2</v>
      </c>
      <c r="C65" s="45" t="s">
        <v>253</v>
      </c>
      <c r="D65" s="76"/>
      <c r="E65" s="76"/>
      <c r="F65" s="76"/>
      <c r="G65" s="76"/>
      <c r="H65" s="27"/>
    </row>
    <row r="66" spans="1:8" ht="34" x14ac:dyDescent="0.2">
      <c r="A66" s="25"/>
      <c r="B66" s="7">
        <v>2.1</v>
      </c>
      <c r="C66" s="45" t="s">
        <v>254</v>
      </c>
      <c r="D66" s="18">
        <f>(2.2+1.5+3.2+3.5)*3.5</f>
        <v>36.4</v>
      </c>
      <c r="E66" s="7" t="s">
        <v>19</v>
      </c>
      <c r="F66" s="18">
        <v>60</v>
      </c>
      <c r="G66" s="94">
        <f t="shared" ref="G66:G68" si="18">D66*F66</f>
        <v>2184</v>
      </c>
      <c r="H66" s="27"/>
    </row>
    <row r="67" spans="1:8" ht="51" x14ac:dyDescent="0.2">
      <c r="A67" s="25"/>
      <c r="B67" s="7">
        <v>2.2000000000000002</v>
      </c>
      <c r="C67" s="45" t="s">
        <v>255</v>
      </c>
      <c r="D67" s="18">
        <f>(1+1+2.1+1.3+1)*3.5</f>
        <v>22.4</v>
      </c>
      <c r="E67" s="7" t="s">
        <v>19</v>
      </c>
      <c r="F67" s="18">
        <v>50</v>
      </c>
      <c r="G67" s="94">
        <f t="shared" si="18"/>
        <v>1120</v>
      </c>
      <c r="H67" s="27"/>
    </row>
    <row r="68" spans="1:8" ht="68" x14ac:dyDescent="0.2">
      <c r="A68" s="25"/>
      <c r="B68" s="7">
        <v>2.2999999999999998</v>
      </c>
      <c r="C68" s="45" t="s">
        <v>256</v>
      </c>
      <c r="D68" s="18">
        <f>(3.5+3)*1.5</f>
        <v>9.75</v>
      </c>
      <c r="E68" s="7" t="s">
        <v>19</v>
      </c>
      <c r="F68" s="18">
        <v>70</v>
      </c>
      <c r="G68" s="94">
        <f t="shared" si="18"/>
        <v>682.5</v>
      </c>
      <c r="H68" s="27"/>
    </row>
    <row r="69" spans="1:8" ht="54" customHeight="1" x14ac:dyDescent="0.2">
      <c r="A69" s="25"/>
      <c r="B69" s="7">
        <v>2.4</v>
      </c>
      <c r="C69" s="45" t="s">
        <v>257</v>
      </c>
      <c r="D69" s="18">
        <f>(1.7+2.5+2.5) *1.5</f>
        <v>10.050000000000001</v>
      </c>
      <c r="E69" s="7" t="s">
        <v>19</v>
      </c>
      <c r="F69" s="18">
        <v>60</v>
      </c>
      <c r="G69" s="94">
        <f t="shared" ref="G69" si="19">D69*F69</f>
        <v>603</v>
      </c>
      <c r="H69" s="27"/>
    </row>
    <row r="70" spans="1:8" ht="337.5" customHeight="1" x14ac:dyDescent="0.2">
      <c r="A70" s="25"/>
      <c r="B70" s="8"/>
      <c r="C70" s="44" t="s">
        <v>258</v>
      </c>
      <c r="D70" s="76"/>
      <c r="E70" s="76"/>
      <c r="F70" s="76"/>
      <c r="G70" s="76"/>
      <c r="H70" s="27"/>
    </row>
    <row r="71" spans="1:8" ht="17" x14ac:dyDescent="0.2">
      <c r="A71" s="25"/>
      <c r="B71" s="7">
        <v>3</v>
      </c>
      <c r="C71" s="45" t="s">
        <v>259</v>
      </c>
      <c r="D71" s="76"/>
      <c r="E71" s="76"/>
      <c r="F71" s="76"/>
      <c r="G71" s="76"/>
      <c r="H71" s="27"/>
    </row>
    <row r="72" spans="1:8" ht="37" customHeight="1" x14ac:dyDescent="0.2">
      <c r="A72" s="25"/>
      <c r="B72" s="7">
        <v>3.1</v>
      </c>
      <c r="C72" s="45" t="s">
        <v>260</v>
      </c>
      <c r="D72" s="18">
        <f>(4.2+4.1+8.8+3.5+3.5+3.3+1.7+3.1+2.8+9.7)*3.5</f>
        <v>156.45000000000002</v>
      </c>
      <c r="E72" s="7" t="s">
        <v>19</v>
      </c>
      <c r="F72" s="18">
        <v>60</v>
      </c>
      <c r="G72" s="94">
        <f t="shared" ref="G72" si="20">D72*F72</f>
        <v>9387.0000000000018</v>
      </c>
      <c r="H72" s="27"/>
    </row>
    <row r="73" spans="1:8" ht="232" customHeight="1" x14ac:dyDescent="0.2">
      <c r="A73" s="25"/>
      <c r="B73" s="7"/>
      <c r="C73" s="53" t="s">
        <v>261</v>
      </c>
      <c r="D73" s="76"/>
      <c r="E73" s="76"/>
      <c r="F73" s="76"/>
      <c r="G73" s="76"/>
      <c r="H73" s="27"/>
    </row>
    <row r="74" spans="1:8" ht="37" customHeight="1" x14ac:dyDescent="0.2">
      <c r="A74" s="25"/>
      <c r="B74" s="7">
        <v>3.2</v>
      </c>
      <c r="C74" s="45" t="s">
        <v>262</v>
      </c>
      <c r="D74" s="18">
        <f>(2.2+1.5+2.8+3.2+3.2+1.5+3.2+3.2+1+3.5+1+1+12+2+12+2.9+2.9)*3.5</f>
        <v>206.84999999999997</v>
      </c>
      <c r="E74" s="7" t="s">
        <v>19</v>
      </c>
      <c r="F74" s="18">
        <v>100</v>
      </c>
      <c r="G74" s="94">
        <f t="shared" ref="G74" si="21">D74*F74</f>
        <v>20684.999999999996</v>
      </c>
      <c r="H74" s="27"/>
    </row>
    <row r="75" spans="1:8" ht="378" customHeight="1" x14ac:dyDescent="0.2">
      <c r="A75" s="25"/>
      <c r="B75" s="7"/>
      <c r="C75" s="44" t="s">
        <v>263</v>
      </c>
      <c r="D75" s="76"/>
      <c r="E75" s="76"/>
      <c r="F75" s="76"/>
      <c r="G75" s="76"/>
      <c r="H75" s="27"/>
    </row>
    <row r="76" spans="1:8" ht="53" customHeight="1" x14ac:dyDescent="0.2">
      <c r="A76" s="25"/>
      <c r="B76" s="7">
        <v>3.3</v>
      </c>
      <c r="C76" s="45" t="s">
        <v>264</v>
      </c>
      <c r="D76" s="18">
        <f>(26+7.5+6.5+9.5+2.8+11.5)*1.35</f>
        <v>86.13</v>
      </c>
      <c r="E76" s="7" t="s">
        <v>19</v>
      </c>
      <c r="F76" s="18">
        <v>120</v>
      </c>
      <c r="G76" s="94">
        <f t="shared" ref="G76" si="22">D76*F76</f>
        <v>10335.599999999999</v>
      </c>
      <c r="H76" s="27"/>
    </row>
    <row r="77" spans="1:8" ht="220.5" customHeight="1" x14ac:dyDescent="0.2">
      <c r="A77" s="25"/>
      <c r="B77" s="7"/>
      <c r="C77" s="44" t="s">
        <v>265</v>
      </c>
      <c r="D77" s="76"/>
      <c r="E77" s="76"/>
      <c r="F77" s="76"/>
      <c r="G77" s="76"/>
      <c r="H77" s="27"/>
    </row>
    <row r="78" spans="1:8" ht="17" x14ac:dyDescent="0.2">
      <c r="A78" s="25"/>
      <c r="B78" s="7">
        <v>4</v>
      </c>
      <c r="C78" s="47" t="s">
        <v>266</v>
      </c>
      <c r="D78" s="76"/>
      <c r="E78" s="76"/>
      <c r="F78" s="76"/>
      <c r="G78" s="76"/>
      <c r="H78" s="27"/>
    </row>
    <row r="79" spans="1:8" ht="39.75" customHeight="1" x14ac:dyDescent="0.2">
      <c r="A79" s="25"/>
      <c r="B79" s="7">
        <v>4.0999999999999996</v>
      </c>
      <c r="C79" s="45" t="s">
        <v>267</v>
      </c>
      <c r="D79" s="18">
        <f>9*3.5-1.1*2.2</f>
        <v>29.08</v>
      </c>
      <c r="E79" s="7" t="s">
        <v>19</v>
      </c>
      <c r="F79" s="18">
        <v>130</v>
      </c>
      <c r="G79" s="94">
        <f t="shared" ref="G79" si="23">D79*F79</f>
        <v>3780.3999999999996</v>
      </c>
      <c r="H79" s="27"/>
    </row>
    <row r="80" spans="1:8" ht="409.6" x14ac:dyDescent="0.2">
      <c r="A80" s="25"/>
      <c r="B80" s="7"/>
      <c r="C80" s="44" t="s">
        <v>268</v>
      </c>
      <c r="D80" s="76"/>
      <c r="E80" s="76"/>
      <c r="F80" s="76"/>
      <c r="G80" s="76"/>
      <c r="H80" s="27"/>
    </row>
    <row r="81" spans="1:9" ht="31.5" customHeight="1" x14ac:dyDescent="0.2">
      <c r="A81" s="25"/>
      <c r="B81" s="7">
        <v>5</v>
      </c>
      <c r="C81" s="45" t="s">
        <v>269</v>
      </c>
      <c r="D81" s="76"/>
      <c r="E81" s="76"/>
      <c r="F81" s="76"/>
      <c r="G81" s="76"/>
      <c r="H81" s="27"/>
    </row>
    <row r="82" spans="1:9" ht="38.5" customHeight="1" x14ac:dyDescent="0.2">
      <c r="A82" s="25"/>
      <c r="B82" s="7">
        <v>5.0999999999999996</v>
      </c>
      <c r="C82" s="45" t="s">
        <v>270</v>
      </c>
      <c r="D82" s="18">
        <v>21</v>
      </c>
      <c r="E82" s="7" t="s">
        <v>27</v>
      </c>
      <c r="F82" s="18">
        <v>200</v>
      </c>
      <c r="G82" s="94">
        <f t="shared" ref="G82" si="24">D82*F82</f>
        <v>4200</v>
      </c>
      <c r="H82" s="27"/>
    </row>
    <row r="83" spans="1:9" ht="248.5" customHeight="1" x14ac:dyDescent="0.2">
      <c r="A83" s="25"/>
      <c r="B83" s="7"/>
      <c r="C83" s="44" t="s">
        <v>271</v>
      </c>
      <c r="D83" s="76"/>
      <c r="E83" s="76"/>
      <c r="F83" s="76"/>
      <c r="G83" s="76"/>
      <c r="H83" s="27"/>
    </row>
    <row r="84" spans="1:9" ht="40" customHeight="1" x14ac:dyDescent="0.2">
      <c r="A84" s="25"/>
      <c r="B84" s="7">
        <v>5.2</v>
      </c>
      <c r="C84" s="45" t="s">
        <v>272</v>
      </c>
      <c r="D84" s="18">
        <f>11*3.5-1.1*2.2</f>
        <v>36.08</v>
      </c>
      <c r="E84" s="7" t="s">
        <v>19</v>
      </c>
      <c r="F84" s="18">
        <v>200</v>
      </c>
      <c r="G84" s="94">
        <f t="shared" ref="G84" si="25">D84*F84</f>
        <v>7216</v>
      </c>
      <c r="H84" s="27"/>
    </row>
    <row r="85" spans="1:9" ht="355" customHeight="1" x14ac:dyDescent="0.2">
      <c r="A85" s="25"/>
      <c r="B85" s="7"/>
      <c r="C85" s="44" t="s">
        <v>273</v>
      </c>
      <c r="D85" s="76"/>
      <c r="E85" s="76"/>
      <c r="F85" s="76"/>
      <c r="G85" s="76"/>
      <c r="H85" s="27"/>
      <c r="I85" s="86"/>
    </row>
    <row r="86" spans="1:9" ht="34" x14ac:dyDescent="0.2">
      <c r="A86" s="25"/>
      <c r="B86" s="7">
        <v>5.3</v>
      </c>
      <c r="C86" s="45" t="s">
        <v>274</v>
      </c>
      <c r="D86" s="18">
        <f>10*3.5</f>
        <v>35</v>
      </c>
      <c r="E86" s="7" t="s">
        <v>19</v>
      </c>
      <c r="F86" s="18">
        <v>180</v>
      </c>
      <c r="G86" s="94">
        <f t="shared" ref="G86" si="26">D86*F86</f>
        <v>6300</v>
      </c>
      <c r="H86" s="27"/>
    </row>
    <row r="87" spans="1:9" ht="372" x14ac:dyDescent="0.2">
      <c r="A87" s="25"/>
      <c r="B87" s="7"/>
      <c r="C87" s="44" t="s">
        <v>275</v>
      </c>
      <c r="D87" s="76"/>
      <c r="E87" s="76"/>
      <c r="F87" s="76"/>
      <c r="G87" s="76"/>
      <c r="H87" s="27"/>
      <c r="I87" s="2"/>
    </row>
    <row r="88" spans="1:9" x14ac:dyDescent="0.2">
      <c r="A88" s="25"/>
      <c r="B88" s="7">
        <v>6</v>
      </c>
      <c r="C88" s="11" t="s">
        <v>276</v>
      </c>
      <c r="D88" s="17">
        <v>13</v>
      </c>
      <c r="E88" s="7" t="s">
        <v>10</v>
      </c>
      <c r="F88" s="18">
        <v>100</v>
      </c>
      <c r="G88" s="94">
        <f t="shared" ref="G88" si="27">D88*F88</f>
        <v>1300</v>
      </c>
      <c r="H88" s="27"/>
      <c r="I88" s="2"/>
    </row>
    <row r="89" spans="1:9" ht="221" x14ac:dyDescent="0.2">
      <c r="A89" s="25"/>
      <c r="B89" s="7"/>
      <c r="C89" s="44" t="s">
        <v>277</v>
      </c>
      <c r="D89" s="76"/>
      <c r="E89" s="76"/>
      <c r="F89" s="76"/>
      <c r="G89" s="76"/>
      <c r="H89" s="27"/>
      <c r="I89" s="2"/>
    </row>
    <row r="90" spans="1:9" ht="17" x14ac:dyDescent="0.2">
      <c r="A90" s="25"/>
      <c r="B90" s="7">
        <v>7</v>
      </c>
      <c r="C90" s="45" t="s">
        <v>278</v>
      </c>
      <c r="D90" s="76"/>
      <c r="E90" s="76"/>
      <c r="F90" s="76"/>
      <c r="G90" s="76"/>
      <c r="H90" s="27"/>
    </row>
    <row r="91" spans="1:9" ht="17" x14ac:dyDescent="0.2">
      <c r="A91" s="25"/>
      <c r="B91" s="7">
        <v>7.1</v>
      </c>
      <c r="C91" s="45" t="s">
        <v>279</v>
      </c>
      <c r="D91" s="18">
        <v>1</v>
      </c>
      <c r="E91" s="7" t="s">
        <v>224</v>
      </c>
      <c r="F91" s="18">
        <v>800</v>
      </c>
      <c r="G91" s="94">
        <f t="shared" ref="G91" si="28">D91*F91</f>
        <v>800</v>
      </c>
      <c r="H91" s="27"/>
    </row>
    <row r="92" spans="1:9" ht="17" x14ac:dyDescent="0.2">
      <c r="A92" s="25"/>
      <c r="B92" s="7">
        <v>7.2</v>
      </c>
      <c r="C92" s="45" t="s">
        <v>280</v>
      </c>
      <c r="D92" s="18">
        <v>1</v>
      </c>
      <c r="E92" s="7" t="s">
        <v>224</v>
      </c>
      <c r="F92" s="18">
        <v>700</v>
      </c>
      <c r="G92" s="94">
        <f t="shared" ref="G92" si="29">D92*F92</f>
        <v>700</v>
      </c>
      <c r="H92" s="27"/>
    </row>
    <row r="93" spans="1:9" ht="255" x14ac:dyDescent="0.2">
      <c r="A93" s="25"/>
      <c r="B93" s="7"/>
      <c r="C93" s="44" t="s">
        <v>281</v>
      </c>
      <c r="D93" s="76"/>
      <c r="E93" s="76"/>
      <c r="F93" s="76"/>
      <c r="G93" s="76"/>
      <c r="H93" s="27"/>
    </row>
    <row r="94" spans="1:9" ht="17" x14ac:dyDescent="0.2">
      <c r="A94" s="25"/>
      <c r="B94" s="7">
        <v>8</v>
      </c>
      <c r="C94" s="67" t="s">
        <v>282</v>
      </c>
      <c r="D94" s="76"/>
      <c r="E94" s="76"/>
      <c r="F94" s="76"/>
      <c r="G94" s="76"/>
      <c r="H94" s="27"/>
    </row>
    <row r="95" spans="1:9" ht="259.5" customHeight="1" x14ac:dyDescent="0.2">
      <c r="A95" s="25"/>
      <c r="B95" s="7"/>
      <c r="C95" s="44" t="s">
        <v>230</v>
      </c>
      <c r="D95" s="76"/>
      <c r="E95" s="76"/>
      <c r="F95" s="76"/>
      <c r="G95" s="76"/>
      <c r="H95" s="27"/>
    </row>
    <row r="96" spans="1:9" ht="17" x14ac:dyDescent="0.2">
      <c r="A96" s="25"/>
      <c r="B96" s="7">
        <v>8.1</v>
      </c>
      <c r="C96" s="45" t="s">
        <v>283</v>
      </c>
      <c r="D96" s="18">
        <v>1</v>
      </c>
      <c r="E96" s="7" t="s">
        <v>224</v>
      </c>
      <c r="F96" s="18">
        <f>(3.35*2.15)*250</f>
        <v>1800.625</v>
      </c>
      <c r="G96" s="94">
        <f t="shared" ref="G96:G106" si="30">D96*F96</f>
        <v>1800.625</v>
      </c>
      <c r="H96" s="27"/>
    </row>
    <row r="97" spans="1:8" ht="17" x14ac:dyDescent="0.2">
      <c r="A97" s="25"/>
      <c r="B97" s="7">
        <v>8.1999999999999993</v>
      </c>
      <c r="C97" s="45" t="s">
        <v>284</v>
      </c>
      <c r="D97" s="18">
        <v>2</v>
      </c>
      <c r="E97" s="7" t="s">
        <v>224</v>
      </c>
      <c r="F97" s="18">
        <f>(1*2.15)*280</f>
        <v>602</v>
      </c>
      <c r="G97" s="94">
        <f t="shared" si="30"/>
        <v>1204</v>
      </c>
      <c r="H97" s="27"/>
    </row>
    <row r="98" spans="1:8" ht="17" x14ac:dyDescent="0.2">
      <c r="A98" s="25"/>
      <c r="B98" s="7">
        <v>8.3000000000000007</v>
      </c>
      <c r="C98" s="45" t="s">
        <v>285</v>
      </c>
      <c r="D98" s="18">
        <v>1</v>
      </c>
      <c r="E98" s="7" t="s">
        <v>224</v>
      </c>
      <c r="F98" s="18">
        <f>(3.75*2.15)*250</f>
        <v>2015.625</v>
      </c>
      <c r="G98" s="94">
        <f t="shared" si="30"/>
        <v>2015.625</v>
      </c>
      <c r="H98" s="27"/>
    </row>
    <row r="99" spans="1:8" ht="17" x14ac:dyDescent="0.2">
      <c r="A99" s="25"/>
      <c r="B99" s="7">
        <v>8.4</v>
      </c>
      <c r="C99" s="45" t="s">
        <v>286</v>
      </c>
      <c r="D99" s="18">
        <v>3</v>
      </c>
      <c r="E99" s="7" t="s">
        <v>224</v>
      </c>
      <c r="F99" s="18">
        <f>(2.65*2.15)*250</f>
        <v>1424.375</v>
      </c>
      <c r="G99" s="94">
        <f t="shared" si="30"/>
        <v>4273.125</v>
      </c>
      <c r="H99" s="27"/>
    </row>
    <row r="100" spans="1:8" ht="17" x14ac:dyDescent="0.2">
      <c r="A100" s="25"/>
      <c r="B100" s="7">
        <v>8.5</v>
      </c>
      <c r="C100" s="45" t="s">
        <v>287</v>
      </c>
      <c r="D100" s="18">
        <v>6</v>
      </c>
      <c r="E100" s="7" t="s">
        <v>224</v>
      </c>
      <c r="F100" s="18">
        <f>(2.8*2.15)*250</f>
        <v>1505</v>
      </c>
      <c r="G100" s="94">
        <f t="shared" si="30"/>
        <v>9030</v>
      </c>
      <c r="H100" s="27"/>
    </row>
    <row r="101" spans="1:8" ht="17" x14ac:dyDescent="0.2">
      <c r="A101" s="25"/>
      <c r="B101" s="7">
        <v>8.6</v>
      </c>
      <c r="C101" s="45" t="s">
        <v>288</v>
      </c>
      <c r="D101" s="18">
        <v>1</v>
      </c>
      <c r="E101" s="7" t="s">
        <v>224</v>
      </c>
      <c r="F101" s="18">
        <f>(2*2.15)*280</f>
        <v>1204</v>
      </c>
      <c r="G101" s="94">
        <f t="shared" si="30"/>
        <v>1204</v>
      </c>
      <c r="H101" s="27"/>
    </row>
    <row r="102" spans="1:8" ht="17" x14ac:dyDescent="0.2">
      <c r="A102" s="25"/>
      <c r="B102" s="7">
        <v>8.6999999999999993</v>
      </c>
      <c r="C102" s="45" t="s">
        <v>289</v>
      </c>
      <c r="D102" s="18">
        <v>1</v>
      </c>
      <c r="E102" s="7" t="s">
        <v>224</v>
      </c>
      <c r="F102" s="18">
        <f>(2.95*2.15)*250</f>
        <v>1585.625</v>
      </c>
      <c r="G102" s="94">
        <f t="shared" si="30"/>
        <v>1585.625</v>
      </c>
      <c r="H102" s="27"/>
    </row>
    <row r="103" spans="1:8" ht="17" x14ac:dyDescent="0.2">
      <c r="A103" s="25"/>
      <c r="B103" s="7">
        <v>8.8000000000000007</v>
      </c>
      <c r="C103" s="45" t="s">
        <v>290</v>
      </c>
      <c r="D103" s="18">
        <v>1</v>
      </c>
      <c r="E103" s="7" t="s">
        <v>224</v>
      </c>
      <c r="F103" s="18">
        <f>(1.8*2.15)*250</f>
        <v>967.5</v>
      </c>
      <c r="G103" s="94">
        <f t="shared" si="30"/>
        <v>967.5</v>
      </c>
      <c r="H103" s="27"/>
    </row>
    <row r="104" spans="1:8" ht="17" x14ac:dyDescent="0.2">
      <c r="A104" s="25"/>
      <c r="B104" s="7">
        <v>8.9</v>
      </c>
      <c r="C104" s="45" t="s">
        <v>291</v>
      </c>
      <c r="D104" s="18">
        <v>2</v>
      </c>
      <c r="E104" s="7" t="s">
        <v>224</v>
      </c>
      <c r="F104" s="18">
        <f>(2.9*2.15)*250</f>
        <v>1558.7499999999998</v>
      </c>
      <c r="G104" s="94">
        <f t="shared" si="30"/>
        <v>3117.4999999999995</v>
      </c>
      <c r="H104" s="27"/>
    </row>
    <row r="105" spans="1:8" ht="17" x14ac:dyDescent="0.2">
      <c r="A105" s="25"/>
      <c r="B105" s="73">
        <v>8.1</v>
      </c>
      <c r="C105" s="45" t="s">
        <v>292</v>
      </c>
      <c r="D105" s="18">
        <v>1</v>
      </c>
      <c r="E105" s="7" t="s">
        <v>224</v>
      </c>
      <c r="F105" s="18">
        <f>(3.3*2.15)*250</f>
        <v>1773.75</v>
      </c>
      <c r="G105" s="94">
        <f t="shared" si="30"/>
        <v>1773.75</v>
      </c>
      <c r="H105" s="27"/>
    </row>
    <row r="106" spans="1:8" ht="17" x14ac:dyDescent="0.2">
      <c r="A106" s="25"/>
      <c r="B106" s="7">
        <v>8.11</v>
      </c>
      <c r="C106" s="45" t="s">
        <v>293</v>
      </c>
      <c r="D106" s="18">
        <v>1</v>
      </c>
      <c r="E106" s="7" t="s">
        <v>224</v>
      </c>
      <c r="F106" s="18">
        <f>(3.1*2.15)*250</f>
        <v>1666.25</v>
      </c>
      <c r="G106" s="94">
        <f t="shared" si="30"/>
        <v>1666.25</v>
      </c>
      <c r="H106" s="27"/>
    </row>
    <row r="107" spans="1:8" ht="17" x14ac:dyDescent="0.2">
      <c r="A107" s="25"/>
      <c r="B107" s="73">
        <v>8.1199999999999992</v>
      </c>
      <c r="C107" s="45" t="s">
        <v>294</v>
      </c>
      <c r="D107" s="18">
        <v>1</v>
      </c>
      <c r="E107" s="7" t="s">
        <v>224</v>
      </c>
      <c r="F107" s="18">
        <f>(2.2*2.15)*250</f>
        <v>1182.5</v>
      </c>
      <c r="G107" s="94">
        <f t="shared" ref="G107" si="31">D107*F107</f>
        <v>1182.5</v>
      </c>
      <c r="H107" s="27"/>
    </row>
    <row r="108" spans="1:8" ht="17" x14ac:dyDescent="0.2">
      <c r="A108" s="25"/>
      <c r="B108" s="7">
        <v>8.1300000000000008</v>
      </c>
      <c r="C108" s="45" t="s">
        <v>295</v>
      </c>
      <c r="D108" s="18">
        <v>1</v>
      </c>
      <c r="E108" s="7" t="s">
        <v>224</v>
      </c>
      <c r="F108" s="18">
        <f>(1.4*2.15)*250</f>
        <v>752.5</v>
      </c>
      <c r="G108" s="94">
        <f t="shared" ref="G108" si="32">D108*F108</f>
        <v>752.5</v>
      </c>
      <c r="H108" s="27"/>
    </row>
    <row r="109" spans="1:8" ht="17" x14ac:dyDescent="0.2">
      <c r="A109" s="25"/>
      <c r="B109" s="73">
        <v>8.14</v>
      </c>
      <c r="C109" s="45" t="s">
        <v>296</v>
      </c>
      <c r="D109" s="18">
        <v>1</v>
      </c>
      <c r="E109" s="7" t="s">
        <v>224</v>
      </c>
      <c r="F109" s="18">
        <f>(3.1*2.15)*250</f>
        <v>1666.25</v>
      </c>
      <c r="G109" s="94">
        <f t="shared" ref="G109" si="33">D109*F109</f>
        <v>1666.25</v>
      </c>
      <c r="H109" s="27"/>
    </row>
    <row r="110" spans="1:8" x14ac:dyDescent="0.2">
      <c r="A110" s="25"/>
      <c r="B110" s="7"/>
      <c r="C110" s="45"/>
      <c r="D110" s="76"/>
      <c r="E110" s="76"/>
      <c r="F110" s="76"/>
      <c r="G110" s="76"/>
      <c r="H110" s="27"/>
    </row>
    <row r="111" spans="1:8" ht="34" x14ac:dyDescent="0.2">
      <c r="A111" s="25"/>
      <c r="B111" s="7">
        <v>9</v>
      </c>
      <c r="C111" s="45" t="s">
        <v>297</v>
      </c>
      <c r="D111" s="76"/>
      <c r="E111" s="76"/>
      <c r="F111" s="76"/>
      <c r="G111" s="76"/>
      <c r="H111" s="27"/>
    </row>
    <row r="112" spans="1:8" ht="262" customHeight="1" x14ac:dyDescent="0.2">
      <c r="A112" s="25"/>
      <c r="B112" s="7"/>
      <c r="C112" s="44" t="s">
        <v>298</v>
      </c>
      <c r="D112" s="76"/>
      <c r="E112" s="76"/>
      <c r="F112" s="76"/>
      <c r="G112" s="76"/>
      <c r="H112" s="27"/>
    </row>
    <row r="113" spans="1:8" ht="17" x14ac:dyDescent="0.2">
      <c r="A113" s="25"/>
      <c r="B113" s="48">
        <v>9.1</v>
      </c>
      <c r="C113" s="79" t="s">
        <v>299</v>
      </c>
      <c r="D113" s="18">
        <v>1</v>
      </c>
      <c r="E113" s="7" t="s">
        <v>224</v>
      </c>
      <c r="F113" s="18">
        <f>(2.6*2.6)*100</f>
        <v>676.00000000000011</v>
      </c>
      <c r="G113" s="94">
        <f t="shared" ref="G113" si="34">D113*F113</f>
        <v>676.00000000000011</v>
      </c>
      <c r="H113" s="27"/>
    </row>
    <row r="114" spans="1:8" ht="17" x14ac:dyDescent="0.2">
      <c r="A114" s="25"/>
      <c r="B114" s="48">
        <v>9.1999999999999993</v>
      </c>
      <c r="C114" s="79" t="s">
        <v>300</v>
      </c>
      <c r="D114" s="18">
        <v>1</v>
      </c>
      <c r="E114" s="7" t="s">
        <v>224</v>
      </c>
      <c r="F114" s="18">
        <f>(3.6*2.6)*100</f>
        <v>936.00000000000011</v>
      </c>
      <c r="G114" s="94">
        <f t="shared" ref="G114:G115" si="35">D114*F114</f>
        <v>936.00000000000011</v>
      </c>
      <c r="H114" s="27"/>
    </row>
    <row r="115" spans="1:8" ht="17" x14ac:dyDescent="0.2">
      <c r="A115" s="25"/>
      <c r="B115" s="48">
        <v>9.3000000000000007</v>
      </c>
      <c r="C115" s="79" t="s">
        <v>301</v>
      </c>
      <c r="D115" s="18">
        <v>2</v>
      </c>
      <c r="E115" s="7" t="s">
        <v>224</v>
      </c>
      <c r="F115" s="18">
        <f>(1.1*2.6)*150</f>
        <v>429.00000000000006</v>
      </c>
      <c r="G115" s="94">
        <f t="shared" si="35"/>
        <v>858.00000000000011</v>
      </c>
      <c r="H115" s="27"/>
    </row>
    <row r="116" spans="1:8" ht="17" x14ac:dyDescent="0.2">
      <c r="A116" s="25"/>
      <c r="B116" s="48">
        <v>10</v>
      </c>
      <c r="C116" s="45" t="s">
        <v>302</v>
      </c>
      <c r="D116" s="18">
        <v>6</v>
      </c>
      <c r="E116" s="7" t="s">
        <v>224</v>
      </c>
      <c r="F116" s="18">
        <v>100</v>
      </c>
      <c r="G116" s="94">
        <f t="shared" ref="G116" si="36">D116*F116</f>
        <v>600</v>
      </c>
      <c r="H116" s="27"/>
    </row>
    <row r="117" spans="1:8" ht="223.5" customHeight="1" x14ac:dyDescent="0.2">
      <c r="A117" s="25"/>
      <c r="B117" s="48"/>
      <c r="C117" s="44" t="s">
        <v>303</v>
      </c>
      <c r="D117" s="76"/>
      <c r="E117" s="76"/>
      <c r="F117" s="76"/>
      <c r="G117" s="76"/>
      <c r="H117" s="27"/>
    </row>
    <row r="118" spans="1:8" ht="17" x14ac:dyDescent="0.2">
      <c r="A118" s="25"/>
      <c r="B118" s="48">
        <v>10.1</v>
      </c>
      <c r="C118" s="45" t="s">
        <v>304</v>
      </c>
      <c r="D118" s="76"/>
      <c r="E118" s="76"/>
      <c r="F118" s="76"/>
      <c r="G118" s="76"/>
      <c r="H118" s="27"/>
    </row>
    <row r="119" spans="1:8" ht="117.5" customHeight="1" x14ac:dyDescent="0.2">
      <c r="A119" s="25"/>
      <c r="B119" s="48"/>
      <c r="C119" s="44" t="s">
        <v>305</v>
      </c>
      <c r="D119" s="76"/>
      <c r="E119" s="76"/>
      <c r="F119" s="76"/>
      <c r="G119" s="76"/>
      <c r="H119" s="27"/>
    </row>
    <row r="120" spans="1:8" ht="17" x14ac:dyDescent="0.2">
      <c r="A120" s="25"/>
      <c r="B120" s="48" t="s">
        <v>306</v>
      </c>
      <c r="C120" s="44" t="s">
        <v>307</v>
      </c>
      <c r="D120" s="49">
        <v>4</v>
      </c>
      <c r="E120" s="7" t="s">
        <v>224</v>
      </c>
      <c r="F120" s="18">
        <v>100</v>
      </c>
      <c r="G120" s="94">
        <f t="shared" ref="G120:G121" si="37">D120*F120</f>
        <v>400</v>
      </c>
      <c r="H120" s="27"/>
    </row>
    <row r="121" spans="1:8" ht="17" x14ac:dyDescent="0.2">
      <c r="A121" s="25"/>
      <c r="B121" s="48" t="s">
        <v>308</v>
      </c>
      <c r="C121" s="44" t="s">
        <v>309</v>
      </c>
      <c r="D121" s="49">
        <v>4</v>
      </c>
      <c r="E121" s="7" t="s">
        <v>224</v>
      </c>
      <c r="F121" s="18">
        <v>50</v>
      </c>
      <c r="G121" s="94">
        <f t="shared" si="37"/>
        <v>200</v>
      </c>
      <c r="H121" s="27"/>
    </row>
    <row r="122" spans="1:8" ht="17" x14ac:dyDescent="0.2">
      <c r="A122" s="25"/>
      <c r="B122" s="48">
        <v>11</v>
      </c>
      <c r="C122" s="45" t="s">
        <v>310</v>
      </c>
      <c r="D122" s="76"/>
      <c r="E122" s="76"/>
      <c r="F122" s="76"/>
      <c r="G122" s="76"/>
      <c r="H122" s="27"/>
    </row>
    <row r="123" spans="1:8" ht="238" x14ac:dyDescent="0.2">
      <c r="A123" s="25"/>
      <c r="B123" s="48"/>
      <c r="C123" s="44" t="s">
        <v>311</v>
      </c>
      <c r="D123" s="76"/>
      <c r="E123" s="76"/>
      <c r="F123" s="76"/>
      <c r="G123" s="76"/>
      <c r="H123" s="27"/>
    </row>
    <row r="124" spans="1:8" ht="17" x14ac:dyDescent="0.2">
      <c r="A124" s="25"/>
      <c r="B124" s="7">
        <v>11.1</v>
      </c>
      <c r="C124" s="79" t="s">
        <v>312</v>
      </c>
      <c r="D124" s="18">
        <v>1</v>
      </c>
      <c r="E124" s="7" t="s">
        <v>313</v>
      </c>
      <c r="F124" s="18">
        <v>300</v>
      </c>
      <c r="G124" s="94">
        <f t="shared" ref="G124" si="38">D124*F124</f>
        <v>300</v>
      </c>
      <c r="H124" s="27"/>
    </row>
    <row r="125" spans="1:8" ht="17" x14ac:dyDescent="0.2">
      <c r="A125" s="25"/>
      <c r="B125" s="7">
        <v>11.2</v>
      </c>
      <c r="C125" s="79" t="s">
        <v>314</v>
      </c>
      <c r="D125" s="18">
        <v>1</v>
      </c>
      <c r="E125" s="7" t="s">
        <v>313</v>
      </c>
      <c r="F125" s="18">
        <v>350</v>
      </c>
      <c r="G125" s="94">
        <f t="shared" ref="G125" si="39">D125*F125</f>
        <v>350</v>
      </c>
      <c r="H125" s="27"/>
    </row>
    <row r="126" spans="1:8" ht="17" x14ac:dyDescent="0.2">
      <c r="A126" s="25"/>
      <c r="B126" s="48">
        <v>12</v>
      </c>
      <c r="C126" s="45" t="s">
        <v>238</v>
      </c>
      <c r="D126" s="76"/>
      <c r="E126" s="76"/>
      <c r="F126" s="76"/>
      <c r="G126" s="76"/>
      <c r="H126" s="27"/>
    </row>
    <row r="127" spans="1:8" ht="197" customHeight="1" x14ac:dyDescent="0.2">
      <c r="A127" s="25"/>
      <c r="B127" s="48"/>
      <c r="C127" s="44" t="s">
        <v>315</v>
      </c>
      <c r="D127" s="76"/>
      <c r="E127" s="76"/>
      <c r="F127" s="76"/>
      <c r="G127" s="76"/>
      <c r="H127" s="27"/>
    </row>
    <row r="128" spans="1:8" ht="17" x14ac:dyDescent="0.2">
      <c r="A128" s="25"/>
      <c r="B128" s="7">
        <v>12.1</v>
      </c>
      <c r="C128" s="79" t="s">
        <v>240</v>
      </c>
      <c r="D128" s="18">
        <v>8</v>
      </c>
      <c r="E128" s="7" t="s">
        <v>27</v>
      </c>
      <c r="F128" s="18">
        <v>30</v>
      </c>
      <c r="G128" s="94">
        <f t="shared" ref="G128:G129" si="40">D128*F128</f>
        <v>240</v>
      </c>
      <c r="H128" s="27"/>
    </row>
    <row r="129" spans="1:10" ht="17" x14ac:dyDescent="0.2">
      <c r="A129" s="25"/>
      <c r="B129" s="7">
        <v>12.2</v>
      </c>
      <c r="C129" s="79" t="s">
        <v>242</v>
      </c>
      <c r="D129" s="18">
        <f>6+3*1.1+3*1.1</f>
        <v>12.600000000000001</v>
      </c>
      <c r="E129" s="7" t="s">
        <v>27</v>
      </c>
      <c r="F129" s="18">
        <v>15</v>
      </c>
      <c r="G129" s="94">
        <f t="shared" si="40"/>
        <v>189.00000000000003</v>
      </c>
      <c r="H129" s="27"/>
    </row>
    <row r="130" spans="1:10" x14ac:dyDescent="0.2">
      <c r="A130" s="25"/>
      <c r="B130" s="48"/>
      <c r="C130" s="79"/>
      <c r="D130" s="49"/>
      <c r="E130" s="50"/>
      <c r="F130" s="49"/>
      <c r="G130" s="93"/>
      <c r="H130" s="27"/>
    </row>
    <row r="131" spans="1:10" x14ac:dyDescent="0.2">
      <c r="A131" s="25"/>
      <c r="B131" s="107" t="s">
        <v>132</v>
      </c>
      <c r="C131" s="107"/>
      <c r="D131" s="107"/>
      <c r="E131" s="107"/>
      <c r="F131" s="107"/>
      <c r="G131" s="94">
        <f>SUM(G58:H129)</f>
        <v>109577.55</v>
      </c>
      <c r="H131" s="27"/>
      <c r="J131" s="4"/>
    </row>
    <row r="132" spans="1:10" x14ac:dyDescent="0.2">
      <c r="A132" s="25"/>
      <c r="B132" s="74"/>
      <c r="C132" s="75"/>
      <c r="D132" s="75"/>
      <c r="E132" s="75"/>
      <c r="F132" s="75"/>
      <c r="G132" s="77"/>
      <c r="H132" s="27"/>
      <c r="J132" s="4"/>
    </row>
    <row r="133" spans="1:10" ht="19" x14ac:dyDescent="0.2">
      <c r="A133" s="25"/>
      <c r="B133" s="124" t="s">
        <v>316</v>
      </c>
      <c r="C133" s="124"/>
      <c r="D133" s="124"/>
      <c r="E133" s="124"/>
      <c r="F133" s="124"/>
      <c r="G133" s="124"/>
      <c r="H133" s="27"/>
      <c r="J133" s="4"/>
    </row>
    <row r="134" spans="1:10" x14ac:dyDescent="0.2">
      <c r="A134" s="25"/>
      <c r="B134" s="123" t="s">
        <v>317</v>
      </c>
      <c r="C134" s="123"/>
      <c r="D134" s="123"/>
      <c r="E134" s="123"/>
      <c r="F134" s="123"/>
      <c r="G134" s="123"/>
      <c r="H134" s="27"/>
      <c r="J134" s="4"/>
    </row>
    <row r="135" spans="1:10" ht="17" x14ac:dyDescent="0.2">
      <c r="A135" s="25"/>
      <c r="B135" s="7">
        <v>1</v>
      </c>
      <c r="C135" s="45" t="s">
        <v>318</v>
      </c>
      <c r="D135" s="76"/>
      <c r="E135" s="76"/>
      <c r="F135" s="76"/>
      <c r="G135" s="76"/>
      <c r="H135" s="27"/>
      <c r="J135" s="4"/>
    </row>
    <row r="136" spans="1:10" ht="17" x14ac:dyDescent="0.2">
      <c r="A136" s="25"/>
      <c r="B136" s="7">
        <v>1.1000000000000001</v>
      </c>
      <c r="C136" s="45" t="s">
        <v>319</v>
      </c>
      <c r="D136" s="76"/>
      <c r="E136" s="76"/>
      <c r="F136" s="76"/>
      <c r="G136" s="76"/>
      <c r="H136" s="27"/>
      <c r="J136" s="4"/>
    </row>
    <row r="137" spans="1:10" ht="34" x14ac:dyDescent="0.2">
      <c r="A137" s="25"/>
      <c r="B137" s="7" t="s">
        <v>320</v>
      </c>
      <c r="C137" s="45" t="s">
        <v>321</v>
      </c>
      <c r="D137" s="18">
        <f>(3+1+0.7+1)*3.5-2.2*1</f>
        <v>17.75</v>
      </c>
      <c r="E137" s="7" t="s">
        <v>19</v>
      </c>
      <c r="F137" s="18">
        <v>70</v>
      </c>
      <c r="G137" s="94">
        <f t="shared" ref="G137" si="41">D137*F137</f>
        <v>1242.5</v>
      </c>
      <c r="H137" s="27"/>
      <c r="J137" s="4"/>
    </row>
    <row r="138" spans="1:10" ht="34" x14ac:dyDescent="0.2">
      <c r="A138" s="25"/>
      <c r="B138" s="7" t="s">
        <v>322</v>
      </c>
      <c r="C138" s="45" t="s">
        <v>323</v>
      </c>
      <c r="D138" s="18">
        <f>(1+1.5+1.5+1.2+1+2)*3.5</f>
        <v>28.699999999999996</v>
      </c>
      <c r="E138" s="7" t="s">
        <v>19</v>
      </c>
      <c r="F138" s="18">
        <v>60</v>
      </c>
      <c r="G138" s="94">
        <f t="shared" ref="G138" si="42">D138*F138</f>
        <v>1721.9999999999998</v>
      </c>
      <c r="H138" s="27"/>
      <c r="J138" s="4"/>
    </row>
    <row r="139" spans="1:10" ht="34" x14ac:dyDescent="0.2">
      <c r="A139" s="25"/>
      <c r="B139" s="7" t="s">
        <v>324</v>
      </c>
      <c r="C139" s="45" t="s">
        <v>325</v>
      </c>
      <c r="D139" s="18">
        <f>(7.5)*1.2</f>
        <v>9</v>
      </c>
      <c r="E139" s="7" t="s">
        <v>19</v>
      </c>
      <c r="F139" s="18">
        <v>70</v>
      </c>
      <c r="G139" s="94">
        <f t="shared" ref="G139:G141" si="43">D139*F139</f>
        <v>630</v>
      </c>
      <c r="H139" s="27"/>
      <c r="J139" s="4"/>
    </row>
    <row r="140" spans="1:10" ht="34" x14ac:dyDescent="0.2">
      <c r="A140" s="25"/>
      <c r="B140" s="7" t="s">
        <v>326</v>
      </c>
      <c r="C140" s="45" t="s">
        <v>327</v>
      </c>
      <c r="D140" s="18">
        <f>21*1.1</f>
        <v>23.1</v>
      </c>
      <c r="E140" s="7" t="s">
        <v>19</v>
      </c>
      <c r="F140" s="18">
        <v>70</v>
      </c>
      <c r="G140" s="94">
        <f t="shared" si="43"/>
        <v>1617</v>
      </c>
      <c r="H140" s="27"/>
      <c r="J140" s="4"/>
    </row>
    <row r="141" spans="1:10" ht="17" x14ac:dyDescent="0.2">
      <c r="A141" s="25"/>
      <c r="B141" s="7" t="s">
        <v>328</v>
      </c>
      <c r="C141" s="45" t="s">
        <v>329</v>
      </c>
      <c r="D141" s="18">
        <f>(7.5)*1.35</f>
        <v>10.125</v>
      </c>
      <c r="E141" s="7" t="s">
        <v>19</v>
      </c>
      <c r="F141" s="18">
        <v>70</v>
      </c>
      <c r="G141" s="94">
        <f t="shared" si="43"/>
        <v>708.75</v>
      </c>
      <c r="H141" s="27"/>
      <c r="J141" s="4"/>
    </row>
    <row r="142" spans="1:10" ht="334.5" customHeight="1" x14ac:dyDescent="0.2">
      <c r="A142" s="25"/>
      <c r="B142" s="7"/>
      <c r="C142" s="44" t="s">
        <v>330</v>
      </c>
      <c r="D142" s="76"/>
      <c r="E142" s="76"/>
      <c r="F142" s="76"/>
      <c r="G142" s="76"/>
      <c r="H142" s="27"/>
      <c r="J142" s="4"/>
    </row>
    <row r="143" spans="1:10" ht="17" x14ac:dyDescent="0.2">
      <c r="A143" s="25"/>
      <c r="B143" s="7">
        <v>1.2</v>
      </c>
      <c r="C143" s="45" t="s">
        <v>253</v>
      </c>
      <c r="D143" s="76"/>
      <c r="E143" s="76"/>
      <c r="F143" s="76"/>
      <c r="G143" s="76"/>
      <c r="H143" s="27"/>
      <c r="J143" s="4"/>
    </row>
    <row r="144" spans="1:10" ht="34" x14ac:dyDescent="0.2">
      <c r="A144" s="25"/>
      <c r="B144" s="7" t="s">
        <v>320</v>
      </c>
      <c r="C144" s="45" t="s">
        <v>331</v>
      </c>
      <c r="D144" s="18">
        <f>(3+4+1+1)*3.5- 1*2.2</f>
        <v>29.3</v>
      </c>
      <c r="E144" s="7" t="s">
        <v>19</v>
      </c>
      <c r="F144" s="18">
        <v>60</v>
      </c>
      <c r="G144" s="94">
        <f t="shared" ref="G144:G146" si="44">D144*F144</f>
        <v>1758</v>
      </c>
      <c r="H144" s="27"/>
      <c r="J144" s="4"/>
    </row>
    <row r="145" spans="1:10" ht="34" x14ac:dyDescent="0.2">
      <c r="A145" s="25"/>
      <c r="B145" s="7" t="s">
        <v>322</v>
      </c>
      <c r="C145" s="45" t="s">
        <v>332</v>
      </c>
      <c r="D145" s="18">
        <f>(2+5.2+2.25)*3.5</f>
        <v>33.074999999999996</v>
      </c>
      <c r="E145" s="7" t="s">
        <v>19</v>
      </c>
      <c r="F145" s="18">
        <v>50</v>
      </c>
      <c r="G145" s="94">
        <f t="shared" si="44"/>
        <v>1653.7499999999998</v>
      </c>
      <c r="H145" s="27"/>
      <c r="J145" s="4"/>
    </row>
    <row r="146" spans="1:10" ht="34" x14ac:dyDescent="0.2">
      <c r="A146" s="25"/>
      <c r="B146" s="7" t="s">
        <v>324</v>
      </c>
      <c r="C146" s="45" t="s">
        <v>333</v>
      </c>
      <c r="D146" s="18">
        <f>(4.2+2.3+1)*3.5</f>
        <v>26.25</v>
      </c>
      <c r="E146" s="7" t="s">
        <v>19</v>
      </c>
      <c r="F146" s="18">
        <v>70</v>
      </c>
      <c r="G146" s="94">
        <f t="shared" si="44"/>
        <v>1837.5</v>
      </c>
      <c r="H146" s="27"/>
      <c r="J146" s="4"/>
    </row>
    <row r="147" spans="1:10" ht="51" x14ac:dyDescent="0.2">
      <c r="A147" s="25"/>
      <c r="B147" s="7" t="s">
        <v>326</v>
      </c>
      <c r="C147" s="45" t="s">
        <v>334</v>
      </c>
      <c r="D147" s="18">
        <f>(3.5+3.2)*1.5</f>
        <v>10.050000000000001</v>
      </c>
      <c r="E147" s="7" t="s">
        <v>19</v>
      </c>
      <c r="F147" s="18">
        <v>70</v>
      </c>
      <c r="G147" s="94">
        <f t="shared" ref="G147" si="45">D147*F147</f>
        <v>703.5</v>
      </c>
      <c r="H147" s="27"/>
      <c r="J147" s="4"/>
    </row>
    <row r="148" spans="1:10" ht="340" customHeight="1" x14ac:dyDescent="0.2">
      <c r="A148" s="25"/>
      <c r="B148" s="76"/>
      <c r="C148" s="44" t="s">
        <v>258</v>
      </c>
      <c r="D148" s="76"/>
      <c r="E148" s="76"/>
      <c r="F148" s="76"/>
      <c r="G148" s="76"/>
      <c r="H148" s="27"/>
      <c r="J148" s="4"/>
    </row>
    <row r="149" spans="1:10" ht="17" x14ac:dyDescent="0.2">
      <c r="A149" s="25"/>
      <c r="B149" s="7">
        <v>2</v>
      </c>
      <c r="C149" s="45" t="s">
        <v>335</v>
      </c>
      <c r="D149" s="76"/>
      <c r="E149" s="76"/>
      <c r="F149" s="76"/>
      <c r="G149" s="76"/>
      <c r="H149" s="27"/>
      <c r="J149" s="4"/>
    </row>
    <row r="150" spans="1:10" ht="17" x14ac:dyDescent="0.2">
      <c r="A150" s="25"/>
      <c r="B150" s="7">
        <v>2.1</v>
      </c>
      <c r="C150" s="45" t="s">
        <v>336</v>
      </c>
      <c r="D150" s="18">
        <f>(11.5+11)*3.5</f>
        <v>78.75</v>
      </c>
      <c r="E150" s="7" t="s">
        <v>19</v>
      </c>
      <c r="F150" s="18">
        <v>100</v>
      </c>
      <c r="G150" s="94">
        <f t="shared" ref="G150" si="46">D150*F150</f>
        <v>7875</v>
      </c>
      <c r="H150" s="27"/>
      <c r="J150" s="4"/>
    </row>
    <row r="151" spans="1:10" ht="409.6" x14ac:dyDescent="0.2">
      <c r="A151" s="25"/>
      <c r="B151" s="7"/>
      <c r="C151" s="44" t="s">
        <v>337</v>
      </c>
      <c r="D151" s="76"/>
      <c r="E151" s="76"/>
      <c r="F151" s="76"/>
      <c r="G151" s="76"/>
      <c r="H151" s="27"/>
      <c r="J151" s="4"/>
    </row>
    <row r="152" spans="1:10" ht="34" x14ac:dyDescent="0.2">
      <c r="A152" s="25"/>
      <c r="B152" s="7">
        <v>2.2000000000000002</v>
      </c>
      <c r="C152" s="45" t="s">
        <v>338</v>
      </c>
      <c r="D152" s="18">
        <f>(10+7+9.5)*1.35</f>
        <v>35.775000000000006</v>
      </c>
      <c r="E152" s="7" t="s">
        <v>19</v>
      </c>
      <c r="F152" s="18">
        <v>120</v>
      </c>
      <c r="G152" s="94">
        <f t="shared" ref="G152" si="47">D152*F152</f>
        <v>4293.0000000000009</v>
      </c>
      <c r="H152" s="27"/>
      <c r="J152" s="4"/>
    </row>
    <row r="153" spans="1:10" ht="238" x14ac:dyDescent="0.2">
      <c r="A153" s="25"/>
      <c r="B153" s="7"/>
      <c r="C153" s="44" t="s">
        <v>339</v>
      </c>
      <c r="D153" s="76"/>
      <c r="E153" s="76"/>
      <c r="F153" s="76"/>
      <c r="G153" s="76"/>
      <c r="H153" s="27"/>
      <c r="J153" s="4"/>
    </row>
    <row r="154" spans="1:10" ht="17" x14ac:dyDescent="0.2">
      <c r="A154" s="25"/>
      <c r="B154" s="7">
        <v>3</v>
      </c>
      <c r="C154" s="47" t="s">
        <v>266</v>
      </c>
      <c r="D154" s="76"/>
      <c r="E154" s="76"/>
      <c r="F154" s="76"/>
      <c r="G154" s="76"/>
      <c r="H154" s="27"/>
      <c r="J154" s="4"/>
    </row>
    <row r="155" spans="1:10" ht="34" x14ac:dyDescent="0.2">
      <c r="A155" s="25"/>
      <c r="B155" s="7">
        <v>3.1</v>
      </c>
      <c r="C155" s="45" t="s">
        <v>340</v>
      </c>
      <c r="D155" s="18">
        <f>(13.15+11.5+2)*3.5-2*2.2-1.1*2.2*2</f>
        <v>84.034999999999982</v>
      </c>
      <c r="E155" s="7" t="s">
        <v>19</v>
      </c>
      <c r="F155" s="18">
        <v>130</v>
      </c>
      <c r="G155" s="94">
        <f t="shared" ref="G155" si="48">D155*F155</f>
        <v>10924.549999999997</v>
      </c>
      <c r="H155" s="27"/>
      <c r="J155" s="4"/>
    </row>
    <row r="156" spans="1:10" ht="409.6" x14ac:dyDescent="0.2">
      <c r="A156" s="25"/>
      <c r="B156" s="7"/>
      <c r="C156" s="44" t="s">
        <v>341</v>
      </c>
      <c r="D156" s="76"/>
      <c r="E156" s="76"/>
      <c r="F156" s="76"/>
      <c r="G156" s="76"/>
      <c r="H156" s="27"/>
      <c r="J156" s="4"/>
    </row>
    <row r="157" spans="1:10" x14ac:dyDescent="0.2">
      <c r="A157" s="25"/>
      <c r="B157" s="7">
        <v>4</v>
      </c>
      <c r="C157" s="11" t="s">
        <v>276</v>
      </c>
      <c r="D157" s="17">
        <v>11</v>
      </c>
      <c r="E157" s="7" t="s">
        <v>10</v>
      </c>
      <c r="F157" s="17">
        <v>100</v>
      </c>
      <c r="G157" s="94">
        <f t="shared" ref="G157" si="49">D157*F157</f>
        <v>1100</v>
      </c>
      <c r="H157" s="27"/>
      <c r="J157" s="4"/>
    </row>
    <row r="158" spans="1:10" ht="221" x14ac:dyDescent="0.2">
      <c r="A158" s="25"/>
      <c r="B158" s="7"/>
      <c r="C158" s="44" t="s">
        <v>277</v>
      </c>
      <c r="D158" s="76"/>
      <c r="E158" s="76"/>
      <c r="F158" s="76"/>
      <c r="G158" s="76"/>
      <c r="H158" s="27"/>
      <c r="J158" s="4"/>
    </row>
    <row r="159" spans="1:10" ht="17" x14ac:dyDescent="0.2">
      <c r="A159" s="25"/>
      <c r="B159" s="7">
        <v>5</v>
      </c>
      <c r="C159" s="45" t="s">
        <v>278</v>
      </c>
      <c r="D159" s="76"/>
      <c r="E159" s="76"/>
      <c r="F159" s="76"/>
      <c r="G159" s="76"/>
      <c r="H159" s="27"/>
      <c r="J159" s="4"/>
    </row>
    <row r="160" spans="1:10" ht="17" x14ac:dyDescent="0.2">
      <c r="A160" s="25"/>
      <c r="B160" s="7">
        <v>5.0999999999999996</v>
      </c>
      <c r="C160" s="45" t="s">
        <v>342</v>
      </c>
      <c r="D160" s="18">
        <v>1</v>
      </c>
      <c r="E160" s="7" t="s">
        <v>224</v>
      </c>
      <c r="F160" s="17">
        <v>1300</v>
      </c>
      <c r="G160" s="94">
        <f t="shared" ref="G160" si="50">D160*F160</f>
        <v>1300</v>
      </c>
      <c r="H160" s="27"/>
      <c r="J160" s="4"/>
    </row>
    <row r="161" spans="1:10" ht="17" x14ac:dyDescent="0.2">
      <c r="A161" s="25"/>
      <c r="B161" s="7">
        <v>5.2</v>
      </c>
      <c r="C161" s="45" t="s">
        <v>343</v>
      </c>
      <c r="D161" s="18">
        <v>2</v>
      </c>
      <c r="E161" s="7" t="s">
        <v>224</v>
      </c>
      <c r="F161" s="17">
        <v>700</v>
      </c>
      <c r="G161" s="94">
        <f t="shared" ref="G161" si="51">D161*F161</f>
        <v>1400</v>
      </c>
      <c r="H161" s="27"/>
      <c r="J161" s="4"/>
    </row>
    <row r="162" spans="1:10" ht="255" x14ac:dyDescent="0.2">
      <c r="A162" s="25"/>
      <c r="B162" s="7"/>
      <c r="C162" s="44" t="s">
        <v>344</v>
      </c>
      <c r="D162" s="76"/>
      <c r="E162" s="76"/>
      <c r="F162" s="76"/>
      <c r="G162" s="76"/>
      <c r="H162" s="27"/>
      <c r="J162" s="4"/>
    </row>
    <row r="163" spans="1:10" ht="17" x14ac:dyDescent="0.2">
      <c r="A163" s="25"/>
      <c r="B163" s="7">
        <v>6</v>
      </c>
      <c r="C163" s="67" t="s">
        <v>345</v>
      </c>
      <c r="D163" s="76"/>
      <c r="E163" s="76"/>
      <c r="F163" s="76"/>
      <c r="G163" s="76"/>
      <c r="H163" s="27"/>
      <c r="J163" s="4"/>
    </row>
    <row r="164" spans="1:10" ht="261.5" customHeight="1" x14ac:dyDescent="0.2">
      <c r="A164" s="25"/>
      <c r="B164" s="7"/>
      <c r="C164" s="44" t="s">
        <v>230</v>
      </c>
      <c r="D164" s="76"/>
      <c r="E164" s="76"/>
      <c r="F164" s="76"/>
      <c r="G164" s="76"/>
      <c r="H164" s="27"/>
      <c r="J164" s="4"/>
    </row>
    <row r="165" spans="1:10" ht="17" x14ac:dyDescent="0.2">
      <c r="A165" s="25"/>
      <c r="B165" s="7">
        <v>6.1</v>
      </c>
      <c r="C165" s="45" t="s">
        <v>346</v>
      </c>
      <c r="D165" s="18">
        <v>1</v>
      </c>
      <c r="E165" s="7" t="s">
        <v>224</v>
      </c>
      <c r="F165" s="18">
        <f>(2.9*2.15)*280</f>
        <v>1745.7999999999997</v>
      </c>
      <c r="G165" s="94">
        <f t="shared" ref="G165:G173" si="52">D165*F165</f>
        <v>1745.7999999999997</v>
      </c>
      <c r="H165" s="27"/>
      <c r="J165" s="4"/>
    </row>
    <row r="166" spans="1:10" ht="17" x14ac:dyDescent="0.2">
      <c r="A166" s="25"/>
      <c r="B166" s="7">
        <v>6.2</v>
      </c>
      <c r="C166" s="45" t="s">
        <v>347</v>
      </c>
      <c r="D166" s="18">
        <v>1</v>
      </c>
      <c r="E166" s="7" t="s">
        <v>224</v>
      </c>
      <c r="F166" s="18">
        <f>(5.05*2.15)*280</f>
        <v>3040.1</v>
      </c>
      <c r="G166" s="94">
        <f t="shared" si="52"/>
        <v>3040.1</v>
      </c>
      <c r="H166" s="27"/>
      <c r="J166" s="4"/>
    </row>
    <row r="167" spans="1:10" ht="17" x14ac:dyDescent="0.2">
      <c r="A167" s="25"/>
      <c r="B167" s="7">
        <v>6.3</v>
      </c>
      <c r="C167" s="45" t="s">
        <v>348</v>
      </c>
      <c r="D167" s="18">
        <v>1</v>
      </c>
      <c r="E167" s="7" t="s">
        <v>224</v>
      </c>
      <c r="F167" s="18">
        <f>(4.35*2.15)*280</f>
        <v>2618.6999999999998</v>
      </c>
      <c r="G167" s="94">
        <f t="shared" si="52"/>
        <v>2618.6999999999998</v>
      </c>
      <c r="H167" s="27"/>
      <c r="J167" s="4"/>
    </row>
    <row r="168" spans="1:10" ht="17" x14ac:dyDescent="0.2">
      <c r="A168" s="25"/>
      <c r="B168" s="7">
        <v>6.4</v>
      </c>
      <c r="C168" s="45" t="s">
        <v>349</v>
      </c>
      <c r="D168" s="18">
        <v>1</v>
      </c>
      <c r="E168" s="7" t="s">
        <v>224</v>
      </c>
      <c r="F168" s="18">
        <f>(2.45*2.15)*280</f>
        <v>1474.9</v>
      </c>
      <c r="G168" s="94">
        <f t="shared" si="52"/>
        <v>1474.9</v>
      </c>
      <c r="H168" s="27"/>
      <c r="J168" s="4"/>
    </row>
    <row r="169" spans="1:10" ht="17" x14ac:dyDescent="0.2">
      <c r="A169" s="25"/>
      <c r="B169" s="7">
        <v>6.5</v>
      </c>
      <c r="C169" s="45" t="s">
        <v>350</v>
      </c>
      <c r="D169" s="18">
        <v>1</v>
      </c>
      <c r="E169" s="7" t="s">
        <v>224</v>
      </c>
      <c r="F169" s="18">
        <f>(4.65*1.05+1.1*2.15)*280</f>
        <v>2029.3000000000002</v>
      </c>
      <c r="G169" s="94">
        <f t="shared" si="52"/>
        <v>2029.3000000000002</v>
      </c>
      <c r="H169" s="27"/>
      <c r="J169" s="4"/>
    </row>
    <row r="170" spans="1:10" ht="17" x14ac:dyDescent="0.2">
      <c r="A170" s="25"/>
      <c r="B170" s="7">
        <v>6.6</v>
      </c>
      <c r="C170" s="45" t="s">
        <v>351</v>
      </c>
      <c r="D170" s="18">
        <v>1</v>
      </c>
      <c r="E170" s="7" t="s">
        <v>224</v>
      </c>
      <c r="F170" s="18">
        <f>(1.6*1.05)*280</f>
        <v>470.40000000000003</v>
      </c>
      <c r="G170" s="94">
        <f t="shared" si="52"/>
        <v>470.40000000000003</v>
      </c>
      <c r="H170" s="27"/>
      <c r="J170" s="4"/>
    </row>
    <row r="171" spans="1:10" ht="17" x14ac:dyDescent="0.2">
      <c r="A171" s="25"/>
      <c r="B171" s="7">
        <v>6.7</v>
      </c>
      <c r="C171" s="45" t="s">
        <v>352</v>
      </c>
      <c r="D171" s="18">
        <v>1</v>
      </c>
      <c r="E171" s="7" t="s">
        <v>224</v>
      </c>
      <c r="F171" s="18">
        <f>(1.1*2.15)*280</f>
        <v>662.2</v>
      </c>
      <c r="G171" s="94">
        <f t="shared" si="52"/>
        <v>662.2</v>
      </c>
      <c r="H171" s="27"/>
      <c r="J171" s="4"/>
    </row>
    <row r="172" spans="1:10" ht="17" x14ac:dyDescent="0.2">
      <c r="A172" s="25"/>
      <c r="B172" s="7">
        <v>6.8</v>
      </c>
      <c r="C172" s="45" t="s">
        <v>353</v>
      </c>
      <c r="D172" s="18">
        <v>1</v>
      </c>
      <c r="E172" s="7" t="s">
        <v>224</v>
      </c>
      <c r="F172" s="18">
        <f>(0.95*2.15)*280</f>
        <v>571.9</v>
      </c>
      <c r="G172" s="94">
        <f t="shared" si="52"/>
        <v>571.9</v>
      </c>
      <c r="H172" s="27"/>
      <c r="J172" s="4"/>
    </row>
    <row r="173" spans="1:10" ht="17" x14ac:dyDescent="0.2">
      <c r="A173" s="25"/>
      <c r="B173" s="48">
        <v>7</v>
      </c>
      <c r="C173" s="45" t="s">
        <v>302</v>
      </c>
      <c r="D173" s="18">
        <v>5</v>
      </c>
      <c r="E173" s="7" t="s">
        <v>224</v>
      </c>
      <c r="F173" s="18">
        <v>100</v>
      </c>
      <c r="G173" s="94">
        <f t="shared" si="52"/>
        <v>500</v>
      </c>
      <c r="H173" s="27"/>
      <c r="J173" s="4"/>
    </row>
    <row r="174" spans="1:10" ht="216" customHeight="1" x14ac:dyDescent="0.2">
      <c r="A174" s="25"/>
      <c r="B174" s="48"/>
      <c r="C174" s="44" t="s">
        <v>354</v>
      </c>
      <c r="D174" s="76"/>
      <c r="E174" s="76"/>
      <c r="F174" s="76"/>
      <c r="G174" s="76"/>
      <c r="H174" s="27"/>
      <c r="J174" s="4"/>
    </row>
    <row r="175" spans="1:10" ht="17" x14ac:dyDescent="0.2">
      <c r="A175" s="25"/>
      <c r="B175" s="48">
        <v>7.1</v>
      </c>
      <c r="C175" s="45" t="s">
        <v>304</v>
      </c>
      <c r="D175" s="76"/>
      <c r="E175" s="76"/>
      <c r="F175" s="76"/>
      <c r="G175" s="76"/>
      <c r="H175" s="27"/>
      <c r="J175" s="4"/>
    </row>
    <row r="176" spans="1:10" ht="119" x14ac:dyDescent="0.2">
      <c r="A176" s="25"/>
      <c r="B176" s="48"/>
      <c r="C176" s="44" t="s">
        <v>305</v>
      </c>
      <c r="D176" s="76"/>
      <c r="E176" s="76"/>
      <c r="F176" s="76"/>
      <c r="G176" s="76"/>
      <c r="H176" s="27"/>
      <c r="J176" s="4"/>
    </row>
    <row r="177" spans="1:10" ht="17" x14ac:dyDescent="0.2">
      <c r="A177" s="25"/>
      <c r="B177" s="48" t="s">
        <v>355</v>
      </c>
      <c r="C177" s="44" t="s">
        <v>307</v>
      </c>
      <c r="D177" s="49">
        <v>3</v>
      </c>
      <c r="E177" s="7" t="s">
        <v>224</v>
      </c>
      <c r="F177" s="18">
        <v>100</v>
      </c>
      <c r="G177" s="94">
        <f t="shared" ref="G177:G178" si="53">D177*F177</f>
        <v>300</v>
      </c>
      <c r="H177" s="27"/>
      <c r="J177" s="4"/>
    </row>
    <row r="178" spans="1:10" ht="17" x14ac:dyDescent="0.2">
      <c r="A178" s="25"/>
      <c r="B178" s="48" t="s">
        <v>356</v>
      </c>
      <c r="C178" s="44" t="s">
        <v>309</v>
      </c>
      <c r="D178" s="49">
        <v>3</v>
      </c>
      <c r="E178" s="7" t="s">
        <v>224</v>
      </c>
      <c r="F178" s="18">
        <v>50</v>
      </c>
      <c r="G178" s="94">
        <f t="shared" si="53"/>
        <v>150</v>
      </c>
      <c r="H178" s="27"/>
      <c r="J178" s="4"/>
    </row>
    <row r="179" spans="1:10" ht="17" x14ac:dyDescent="0.2">
      <c r="A179" s="25"/>
      <c r="B179" s="48">
        <v>8</v>
      </c>
      <c r="C179" s="45" t="s">
        <v>238</v>
      </c>
      <c r="D179" s="76"/>
      <c r="E179" s="76"/>
      <c r="F179" s="76"/>
      <c r="G179" s="76"/>
      <c r="H179" s="27"/>
      <c r="J179" s="4"/>
    </row>
    <row r="180" spans="1:10" ht="187" x14ac:dyDescent="0.2">
      <c r="A180" s="25"/>
      <c r="B180" s="48"/>
      <c r="C180" s="44" t="s">
        <v>357</v>
      </c>
      <c r="D180" s="76"/>
      <c r="E180" s="76"/>
      <c r="F180" s="76"/>
      <c r="G180" s="76"/>
      <c r="H180" s="27"/>
      <c r="J180" s="4"/>
    </row>
    <row r="181" spans="1:10" ht="17" x14ac:dyDescent="0.2">
      <c r="A181" s="25"/>
      <c r="B181" s="7">
        <v>8.1</v>
      </c>
      <c r="C181" s="79" t="s">
        <v>242</v>
      </c>
      <c r="D181" s="18">
        <f>9.5+5.12</f>
        <v>14.620000000000001</v>
      </c>
      <c r="E181" s="7" t="s">
        <v>27</v>
      </c>
      <c r="F181" s="18">
        <v>20</v>
      </c>
      <c r="G181" s="94">
        <f t="shared" ref="G181" si="54">D181*F181</f>
        <v>292.40000000000003</v>
      </c>
      <c r="H181" s="27"/>
      <c r="J181" s="4"/>
    </row>
    <row r="182" spans="1:10" x14ac:dyDescent="0.2">
      <c r="A182" s="25"/>
      <c r="B182" s="107" t="s">
        <v>145</v>
      </c>
      <c r="C182" s="107"/>
      <c r="D182" s="107"/>
      <c r="E182" s="107"/>
      <c r="F182" s="107"/>
      <c r="G182" s="94">
        <f>SUM(G137:G181)</f>
        <v>52621.25</v>
      </c>
      <c r="H182" s="27"/>
      <c r="J182" s="4"/>
    </row>
    <row r="183" spans="1:10" x14ac:dyDescent="0.2">
      <c r="A183" s="25"/>
      <c r="B183" s="110"/>
      <c r="C183" s="111"/>
      <c r="D183" s="111"/>
      <c r="E183" s="111"/>
      <c r="F183" s="111"/>
      <c r="G183" s="112"/>
      <c r="H183" s="27"/>
      <c r="J183" s="4"/>
    </row>
    <row r="184" spans="1:10" ht="19" x14ac:dyDescent="0.2">
      <c r="A184" s="25"/>
      <c r="B184" s="124" t="s">
        <v>358</v>
      </c>
      <c r="C184" s="124"/>
      <c r="D184" s="124"/>
      <c r="E184" s="124"/>
      <c r="F184" s="124"/>
      <c r="G184" s="124"/>
      <c r="H184" s="27"/>
    </row>
    <row r="185" spans="1:10" x14ac:dyDescent="0.2">
      <c r="A185" s="25"/>
      <c r="B185" s="123" t="s">
        <v>359</v>
      </c>
      <c r="C185" s="123"/>
      <c r="D185" s="123"/>
      <c r="E185" s="123"/>
      <c r="F185" s="123"/>
      <c r="G185" s="123"/>
      <c r="H185" s="27"/>
    </row>
    <row r="186" spans="1:10" x14ac:dyDescent="0.2">
      <c r="A186" s="25"/>
      <c r="B186" s="8" t="s">
        <v>7</v>
      </c>
      <c r="C186" s="8" t="s">
        <v>8</v>
      </c>
      <c r="D186" s="16" t="s">
        <v>9</v>
      </c>
      <c r="E186" s="8" t="s">
        <v>10</v>
      </c>
      <c r="F186" s="10" t="s">
        <v>11</v>
      </c>
      <c r="G186" s="10" t="s">
        <v>12</v>
      </c>
      <c r="H186" s="27"/>
    </row>
    <row r="187" spans="1:10" x14ac:dyDescent="0.2">
      <c r="A187" s="25"/>
      <c r="B187" s="7">
        <v>1</v>
      </c>
      <c r="C187" s="11" t="s">
        <v>318</v>
      </c>
      <c r="D187" s="76"/>
      <c r="E187" s="76"/>
      <c r="F187" s="76"/>
      <c r="G187" s="76"/>
      <c r="H187" s="27"/>
    </row>
    <row r="188" spans="1:10" ht="34" x14ac:dyDescent="0.2">
      <c r="A188" s="25"/>
      <c r="B188" s="7">
        <v>1.1000000000000001</v>
      </c>
      <c r="C188" s="45" t="s">
        <v>360</v>
      </c>
      <c r="D188" s="18">
        <f>2.4*3.5-2.4+2*3.5+3.6*3.5+4.3*3.4-2.4</f>
        <v>37.82</v>
      </c>
      <c r="E188" s="7" t="s">
        <v>19</v>
      </c>
      <c r="F188" s="18">
        <v>60</v>
      </c>
      <c r="G188" s="94">
        <f t="shared" ref="G188:G189" si="55">D188*F188</f>
        <v>2269.1999999999998</v>
      </c>
      <c r="H188" s="27"/>
    </row>
    <row r="189" spans="1:10" ht="34" x14ac:dyDescent="0.2">
      <c r="A189" s="25"/>
      <c r="B189" s="7">
        <v>1.2</v>
      </c>
      <c r="C189" s="45" t="s">
        <v>361</v>
      </c>
      <c r="D189" s="18">
        <f>(2.2+1)*1.1</f>
        <v>3.5200000000000005</v>
      </c>
      <c r="E189" s="7" t="s">
        <v>19</v>
      </c>
      <c r="F189" s="18">
        <v>70</v>
      </c>
      <c r="G189" s="94">
        <f t="shared" si="55"/>
        <v>246.40000000000003</v>
      </c>
      <c r="H189" s="27"/>
    </row>
    <row r="190" spans="1:10" ht="335" customHeight="1" x14ac:dyDescent="0.2">
      <c r="A190" s="25"/>
      <c r="B190" s="7"/>
      <c r="C190" s="44" t="s">
        <v>362</v>
      </c>
      <c r="D190" s="76"/>
      <c r="E190" s="76"/>
      <c r="F190" s="76"/>
      <c r="G190" s="76"/>
      <c r="H190" s="27"/>
    </row>
    <row r="191" spans="1:10" x14ac:dyDescent="0.2">
      <c r="A191" s="25"/>
      <c r="B191" s="7">
        <v>1.3</v>
      </c>
      <c r="C191" s="11" t="s">
        <v>276</v>
      </c>
      <c r="D191" s="17">
        <v>2</v>
      </c>
      <c r="E191" s="7" t="s">
        <v>10</v>
      </c>
      <c r="F191" s="18">
        <v>100</v>
      </c>
      <c r="G191" s="94">
        <f t="shared" ref="G191" si="56">D191*F191</f>
        <v>200</v>
      </c>
      <c r="H191" s="27"/>
    </row>
    <row r="192" spans="1:10" ht="221" x14ac:dyDescent="0.2">
      <c r="A192" s="25"/>
      <c r="B192" s="7"/>
      <c r="C192" s="9" t="s">
        <v>277</v>
      </c>
      <c r="D192" s="76"/>
      <c r="E192" s="76"/>
      <c r="F192" s="76"/>
      <c r="G192" s="76"/>
      <c r="H192" s="27"/>
    </row>
    <row r="193" spans="1:10" ht="17" x14ac:dyDescent="0.2">
      <c r="A193" s="25"/>
      <c r="B193" s="48">
        <v>1.4</v>
      </c>
      <c r="C193" s="45" t="s">
        <v>238</v>
      </c>
      <c r="D193" s="76"/>
      <c r="E193" s="76"/>
      <c r="F193" s="76"/>
      <c r="G193" s="76"/>
      <c r="H193" s="27"/>
    </row>
    <row r="194" spans="1:10" ht="170" x14ac:dyDescent="0.2">
      <c r="A194" s="25"/>
      <c r="B194" s="48"/>
      <c r="C194" s="44" t="s">
        <v>315</v>
      </c>
      <c r="D194" s="76"/>
      <c r="E194" s="76"/>
      <c r="F194" s="76"/>
      <c r="G194" s="76"/>
      <c r="H194" s="27"/>
    </row>
    <row r="195" spans="1:10" ht="17" x14ac:dyDescent="0.2">
      <c r="A195" s="25"/>
      <c r="B195" s="7" t="s">
        <v>363</v>
      </c>
      <c r="C195" s="91" t="s">
        <v>242</v>
      </c>
      <c r="D195" s="18">
        <v>3.2</v>
      </c>
      <c r="E195" s="7" t="s">
        <v>27</v>
      </c>
      <c r="F195" s="18">
        <v>15</v>
      </c>
      <c r="G195" s="94">
        <f t="shared" ref="G195" si="57">D195*F195</f>
        <v>48</v>
      </c>
      <c r="H195" s="27"/>
    </row>
    <row r="196" spans="1:10" ht="17" x14ac:dyDescent="0.2">
      <c r="A196" s="25"/>
      <c r="B196" s="7">
        <v>3</v>
      </c>
      <c r="C196" s="47" t="s">
        <v>266</v>
      </c>
      <c r="D196" s="76"/>
      <c r="E196" s="76"/>
      <c r="F196" s="76"/>
      <c r="G196" s="76"/>
      <c r="H196" s="27"/>
    </row>
    <row r="197" spans="1:10" ht="34" x14ac:dyDescent="0.2">
      <c r="A197" s="25"/>
      <c r="B197" s="7">
        <v>3.1</v>
      </c>
      <c r="C197" s="45" t="s">
        <v>364</v>
      </c>
      <c r="D197" s="18">
        <f>12.7*3.5-2.2</f>
        <v>42.249999999999993</v>
      </c>
      <c r="E197" s="7" t="s">
        <v>19</v>
      </c>
      <c r="F197" s="18">
        <v>150</v>
      </c>
      <c r="G197" s="94">
        <f t="shared" ref="G197:G198" si="58">D197*F197</f>
        <v>6337.4999999999991</v>
      </c>
      <c r="H197" s="27"/>
    </row>
    <row r="198" spans="1:10" ht="51" x14ac:dyDescent="0.2">
      <c r="A198" s="25"/>
      <c r="B198" s="7">
        <v>3.2</v>
      </c>
      <c r="C198" s="45" t="s">
        <v>365</v>
      </c>
      <c r="D198" s="18">
        <f>(8.8+1.3)*3.5-2.2*1.1</f>
        <v>32.930000000000007</v>
      </c>
      <c r="E198" s="7" t="s">
        <v>19</v>
      </c>
      <c r="F198" s="18">
        <v>150</v>
      </c>
      <c r="G198" s="94">
        <f t="shared" si="58"/>
        <v>4939.5000000000009</v>
      </c>
      <c r="H198" s="27"/>
    </row>
    <row r="199" spans="1:10" ht="358.5" customHeight="1" x14ac:dyDescent="0.2">
      <c r="A199" s="25"/>
      <c r="B199" s="7"/>
      <c r="C199" s="53" t="s">
        <v>366</v>
      </c>
      <c r="D199" s="76"/>
      <c r="E199" s="76"/>
      <c r="F199" s="76"/>
      <c r="G199" s="76"/>
      <c r="H199" s="27"/>
    </row>
    <row r="200" spans="1:10" ht="17" x14ac:dyDescent="0.2">
      <c r="A200" s="25"/>
      <c r="B200" s="45">
        <v>5</v>
      </c>
      <c r="C200" s="45" t="s">
        <v>367</v>
      </c>
      <c r="D200" s="76"/>
      <c r="E200" s="76"/>
      <c r="F200" s="76"/>
      <c r="G200" s="76"/>
      <c r="H200" s="27"/>
    </row>
    <row r="201" spans="1:10" ht="17" x14ac:dyDescent="0.2">
      <c r="A201" s="25"/>
      <c r="B201" s="45">
        <v>5.0999999999999996</v>
      </c>
      <c r="C201" s="45" t="s">
        <v>368</v>
      </c>
      <c r="D201" s="18">
        <v>4</v>
      </c>
      <c r="E201" s="7" t="s">
        <v>224</v>
      </c>
      <c r="F201" s="18">
        <v>800</v>
      </c>
      <c r="G201" s="94">
        <f t="shared" ref="G201" si="59">D201*F201</f>
        <v>3200</v>
      </c>
      <c r="H201" s="27"/>
    </row>
    <row r="202" spans="1:10" ht="238" x14ac:dyDescent="0.2">
      <c r="A202" s="25"/>
      <c r="B202" s="66"/>
      <c r="C202" s="44" t="s">
        <v>369</v>
      </c>
      <c r="D202" s="76"/>
      <c r="E202" s="76"/>
      <c r="F202" s="76"/>
      <c r="G202" s="76"/>
      <c r="H202" s="31"/>
      <c r="J202" s="6"/>
    </row>
    <row r="203" spans="1:10" ht="17" x14ac:dyDescent="0.2">
      <c r="A203" s="25"/>
      <c r="B203" s="45">
        <v>6</v>
      </c>
      <c r="C203" s="45" t="s">
        <v>370</v>
      </c>
      <c r="D203" s="18">
        <v>1</v>
      </c>
      <c r="E203" s="7" t="s">
        <v>224</v>
      </c>
      <c r="F203" s="18">
        <v>300</v>
      </c>
      <c r="G203" s="94">
        <f t="shared" ref="G203" si="60">D203*F203</f>
        <v>300</v>
      </c>
      <c r="H203" s="31"/>
      <c r="J203" s="6"/>
    </row>
    <row r="204" spans="1:10" ht="196.5" customHeight="1" x14ac:dyDescent="0.2">
      <c r="A204" s="25"/>
      <c r="B204" s="66"/>
      <c r="C204" s="44" t="s">
        <v>371</v>
      </c>
      <c r="D204" s="76"/>
      <c r="E204" s="76"/>
      <c r="F204" s="76"/>
      <c r="G204" s="76"/>
      <c r="H204" s="31"/>
      <c r="J204" s="6"/>
    </row>
    <row r="205" spans="1:10" x14ac:dyDescent="0.2">
      <c r="A205" s="33"/>
      <c r="B205" s="107" t="s">
        <v>132</v>
      </c>
      <c r="C205" s="107"/>
      <c r="D205" s="107"/>
      <c r="E205" s="107"/>
      <c r="F205" s="107"/>
      <c r="G205" s="94">
        <f>SUM(G188:H204)</f>
        <v>17540.599999999999</v>
      </c>
      <c r="H205" s="34"/>
    </row>
    <row r="206" spans="1:10" x14ac:dyDescent="0.2">
      <c r="A206" s="25"/>
      <c r="B206" s="104"/>
      <c r="C206" s="104"/>
      <c r="D206" s="104"/>
      <c r="E206" s="104"/>
      <c r="F206" s="104"/>
      <c r="G206" s="104"/>
      <c r="H206" s="27"/>
    </row>
    <row r="207" spans="1:10" x14ac:dyDescent="0.2">
      <c r="A207" s="25"/>
      <c r="B207" s="107" t="s">
        <v>372</v>
      </c>
      <c r="C207" s="107"/>
      <c r="D207" s="107"/>
      <c r="E207" s="107"/>
      <c r="F207" s="107"/>
      <c r="G207" s="94">
        <f>G48+G131+G205+G182</f>
        <v>180114.4</v>
      </c>
      <c r="H207" s="27"/>
    </row>
    <row r="208" spans="1:10" x14ac:dyDescent="0.2">
      <c r="A208" s="25"/>
      <c r="B208" s="54"/>
      <c r="C208" s="54"/>
      <c r="D208" s="54"/>
      <c r="E208" s="54"/>
      <c r="F208" s="54"/>
      <c r="G208" s="55"/>
      <c r="H208" s="27"/>
    </row>
    <row r="209" spans="1:8" x14ac:dyDescent="0.2">
      <c r="A209" s="25"/>
      <c r="B209" s="5" t="s">
        <v>192</v>
      </c>
      <c r="C209" s="5"/>
      <c r="D209" s="37"/>
      <c r="E209" s="28"/>
      <c r="F209" s="28"/>
      <c r="H209" s="27"/>
    </row>
    <row r="210" spans="1:8" x14ac:dyDescent="0.2">
      <c r="A210" s="25"/>
      <c r="B210" s="28"/>
      <c r="C210" s="28"/>
      <c r="D210" s="15"/>
      <c r="E210" s="28"/>
      <c r="F210" s="28"/>
      <c r="H210" s="27"/>
    </row>
    <row r="211" spans="1:8" x14ac:dyDescent="0.2">
      <c r="A211" s="25"/>
      <c r="B211" s="104" t="s">
        <v>193</v>
      </c>
      <c r="C211" s="104"/>
      <c r="D211" s="102"/>
      <c r="E211" s="102"/>
      <c r="F211" s="102"/>
      <c r="H211" s="27"/>
    </row>
    <row r="212" spans="1:8" x14ac:dyDescent="0.2">
      <c r="A212" s="25"/>
      <c r="B212" s="2"/>
      <c r="C212" s="2"/>
      <c r="D212" s="102"/>
      <c r="E212" s="102"/>
      <c r="F212" s="102"/>
      <c r="H212" s="27"/>
    </row>
    <row r="213" spans="1:8" x14ac:dyDescent="0.2">
      <c r="A213" s="25"/>
      <c r="B213" s="104" t="s">
        <v>194</v>
      </c>
      <c r="C213" s="104"/>
      <c r="D213" s="105" t="s">
        <v>195</v>
      </c>
      <c r="E213" s="105"/>
      <c r="F213" s="105"/>
      <c r="H213" s="27"/>
    </row>
    <row r="214" spans="1:8" x14ac:dyDescent="0.2">
      <c r="A214" s="25"/>
      <c r="B214" s="35"/>
      <c r="C214" s="35"/>
      <c r="D214" s="106"/>
      <c r="E214" s="106"/>
      <c r="F214" s="106"/>
      <c r="H214" s="27"/>
    </row>
    <row r="215" spans="1:8" x14ac:dyDescent="0.2">
      <c r="A215" s="25"/>
      <c r="B215" s="104" t="s">
        <v>196</v>
      </c>
      <c r="C215" s="104"/>
      <c r="D215" s="106"/>
      <c r="E215" s="106"/>
      <c r="F215" s="106"/>
      <c r="H215" s="27"/>
    </row>
    <row r="216" spans="1:8" x14ac:dyDescent="0.2">
      <c r="A216" s="25"/>
      <c r="B216" s="35"/>
      <c r="C216" s="35"/>
      <c r="D216" s="102"/>
      <c r="E216" s="102"/>
      <c r="F216" s="102"/>
      <c r="H216" s="27"/>
    </row>
    <row r="217" spans="1:8" x14ac:dyDescent="0.2">
      <c r="A217" s="25"/>
      <c r="B217" s="103" t="s">
        <v>197</v>
      </c>
      <c r="C217" s="103"/>
      <c r="D217" s="38" t="s">
        <v>198</v>
      </c>
      <c r="E217" s="39"/>
      <c r="F217" s="39"/>
      <c r="H217" s="27"/>
    </row>
    <row r="218" spans="1:8" x14ac:dyDescent="0.2">
      <c r="A218" s="40"/>
      <c r="B218" s="41"/>
      <c r="C218" s="41"/>
      <c r="D218" s="42"/>
      <c r="E218" s="41"/>
      <c r="F218" s="41"/>
      <c r="G218" s="41"/>
      <c r="H218" s="43"/>
    </row>
  </sheetData>
  <mergeCells count="31">
    <mergeCell ref="B217:C217"/>
    <mergeCell ref="B206:G206"/>
    <mergeCell ref="B211:C211"/>
    <mergeCell ref="D211:F212"/>
    <mergeCell ref="B205:F205"/>
    <mergeCell ref="B207:F207"/>
    <mergeCell ref="B213:C213"/>
    <mergeCell ref="D213:F213"/>
    <mergeCell ref="D214:F215"/>
    <mergeCell ref="B215:C215"/>
    <mergeCell ref="D216:F216"/>
    <mergeCell ref="B185:G185"/>
    <mergeCell ref="B9:G9"/>
    <mergeCell ref="B10:G10"/>
    <mergeCell ref="B11:G11"/>
    <mergeCell ref="B54:G54"/>
    <mergeCell ref="B55:G55"/>
    <mergeCell ref="B131:F131"/>
    <mergeCell ref="B183:G183"/>
    <mergeCell ref="B184:G184"/>
    <mergeCell ref="B133:G133"/>
    <mergeCell ref="B134:G134"/>
    <mergeCell ref="B182:F182"/>
    <mergeCell ref="B52:F52"/>
    <mergeCell ref="J15:J16"/>
    <mergeCell ref="C2:G2"/>
    <mergeCell ref="C3:G3"/>
    <mergeCell ref="C4:G4"/>
    <mergeCell ref="B5:G5"/>
    <mergeCell ref="B7:G7"/>
    <mergeCell ref="B8:G8"/>
  </mergeCells>
  <printOptions horizontalCentered="1"/>
  <pageMargins left="0.59055118110236204" right="0.196850393700787" top="0.74803149606299202" bottom="0.39370078740157499" header="0.118110236220472" footer="0.118110236220472"/>
  <pageSetup paperSize="9" scale="41" fitToHeight="0" orientation="portrait" r:id="rId1"/>
  <headerFooter>
    <oddFooter>&amp;L&amp;F&amp;C&amp;A&amp;RPage &amp;P of &amp;N</oddFooter>
  </headerFooter>
  <rowBreaks count="4" manualBreakCount="4">
    <brk id="38" max="7" man="1"/>
    <brk id="53" max="7" man="1"/>
    <brk id="189" max="7" man="1"/>
    <brk id="204"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3B35-1312-47FB-8B4D-DFCA1D185F69}">
  <sheetPr>
    <tabColor rgb="FFFFFF00"/>
  </sheetPr>
  <dimension ref="A1:O189"/>
  <sheetViews>
    <sheetView showGridLines="0" tabSelected="1" view="pageBreakPreview" topLeftCell="A162" zoomScale="160" zoomScaleNormal="93" zoomScaleSheetLayoutView="160" workbookViewId="0">
      <selection activeCell="D162" sqref="D162"/>
    </sheetView>
  </sheetViews>
  <sheetFormatPr baseColWidth="10" defaultColWidth="9.1640625" defaultRowHeight="16" x14ac:dyDescent="0.2"/>
  <cols>
    <col min="1" max="1" width="2.1640625" style="1" customWidth="1"/>
    <col min="2" max="2" width="5.6640625" style="1" customWidth="1"/>
    <col min="3" max="3" width="78.83203125" style="1" customWidth="1"/>
    <col min="4" max="4" width="12.6640625" style="20" customWidth="1"/>
    <col min="5" max="5" width="9.6640625" style="1" customWidth="1"/>
    <col min="6" max="6" width="13.6640625" style="1" customWidth="1"/>
    <col min="7" max="7" width="19.5" style="1" customWidth="1"/>
    <col min="8" max="8" width="2.1640625" style="1" customWidth="1"/>
    <col min="9" max="9" width="9.1640625" style="1"/>
    <col min="10" max="10" width="35.83203125" style="1" customWidth="1"/>
    <col min="11" max="16384" width="9.1640625" style="1"/>
  </cols>
  <sheetData>
    <row r="1" spans="1:10" x14ac:dyDescent="0.2">
      <c r="A1" s="21"/>
      <c r="B1" s="22"/>
      <c r="C1" s="22"/>
      <c r="D1" s="23"/>
      <c r="E1" s="22"/>
      <c r="F1" s="22"/>
      <c r="G1" s="22"/>
      <c r="H1" s="24"/>
    </row>
    <row r="2" spans="1:10" ht="19" x14ac:dyDescent="0.25">
      <c r="A2" s="25"/>
      <c r="B2" s="26"/>
      <c r="C2" s="108" t="s">
        <v>0</v>
      </c>
      <c r="D2" s="108"/>
      <c r="E2" s="108"/>
      <c r="F2" s="108"/>
      <c r="G2" s="108"/>
      <c r="H2" s="27"/>
    </row>
    <row r="3" spans="1:10" ht="19" x14ac:dyDescent="0.25">
      <c r="A3" s="25"/>
      <c r="B3" s="26"/>
      <c r="C3" s="108" t="s">
        <v>1</v>
      </c>
      <c r="D3" s="108"/>
      <c r="E3" s="108"/>
      <c r="F3" s="108"/>
      <c r="G3" s="108"/>
      <c r="H3" s="27"/>
    </row>
    <row r="4" spans="1:10" ht="19" x14ac:dyDescent="0.25">
      <c r="A4" s="25"/>
      <c r="B4" s="26"/>
      <c r="C4" s="108" t="s">
        <v>2</v>
      </c>
      <c r="D4" s="108"/>
      <c r="E4" s="108"/>
      <c r="F4" s="108"/>
      <c r="G4" s="108"/>
      <c r="H4" s="27"/>
    </row>
    <row r="5" spans="1:10" ht="33.75" customHeight="1" x14ac:dyDescent="0.2">
      <c r="A5" s="25"/>
      <c r="B5" s="109" t="s">
        <v>3</v>
      </c>
      <c r="C5" s="109"/>
      <c r="D5" s="109"/>
      <c r="E5" s="109"/>
      <c r="F5" s="109"/>
      <c r="G5" s="109"/>
      <c r="H5" s="27"/>
    </row>
    <row r="6" spans="1:10" x14ac:dyDescent="0.2">
      <c r="A6" s="25"/>
      <c r="B6" s="28"/>
      <c r="C6" s="28"/>
      <c r="D6" s="15"/>
      <c r="E6" s="28"/>
      <c r="F6" s="28"/>
      <c r="G6" s="29"/>
      <c r="H6" s="27"/>
    </row>
    <row r="7" spans="1:10" ht="80.25" customHeight="1" x14ac:dyDescent="0.2">
      <c r="A7" s="25"/>
      <c r="B7" s="118" t="s">
        <v>4</v>
      </c>
      <c r="C7" s="118"/>
      <c r="D7" s="118"/>
      <c r="E7" s="118"/>
      <c r="F7" s="118"/>
      <c r="G7" s="118"/>
      <c r="H7" s="27"/>
      <c r="J7" s="2"/>
    </row>
    <row r="8" spans="1:10" ht="9" customHeight="1" x14ac:dyDescent="0.2">
      <c r="A8" s="25"/>
      <c r="B8" s="119"/>
      <c r="C8" s="120"/>
      <c r="D8" s="120"/>
      <c r="E8" s="120"/>
      <c r="F8" s="120"/>
      <c r="G8" s="121"/>
      <c r="H8" s="27"/>
    </row>
    <row r="9" spans="1:10" ht="19" x14ac:dyDescent="0.2">
      <c r="A9" s="25"/>
      <c r="B9" s="124" t="s">
        <v>199</v>
      </c>
      <c r="C9" s="124"/>
      <c r="D9" s="124"/>
      <c r="E9" s="124"/>
      <c r="F9" s="124"/>
      <c r="G9" s="124"/>
      <c r="H9" s="27"/>
    </row>
    <row r="10" spans="1:10" x14ac:dyDescent="0.2">
      <c r="A10" s="25"/>
      <c r="B10" s="125" t="s">
        <v>373</v>
      </c>
      <c r="C10" s="125"/>
      <c r="D10" s="125"/>
      <c r="E10" s="125"/>
      <c r="F10" s="125"/>
      <c r="G10" s="125"/>
      <c r="H10" s="27"/>
    </row>
    <row r="11" spans="1:10" x14ac:dyDescent="0.2">
      <c r="A11" s="25"/>
      <c r="B11" s="117"/>
      <c r="C11" s="117"/>
      <c r="D11" s="117"/>
      <c r="E11" s="117"/>
      <c r="F11" s="117"/>
      <c r="G11" s="117"/>
      <c r="H11" s="27"/>
    </row>
    <row r="12" spans="1:10" x14ac:dyDescent="0.2">
      <c r="A12" s="25"/>
      <c r="B12" s="8" t="s">
        <v>7</v>
      </c>
      <c r="C12" s="8" t="s">
        <v>8</v>
      </c>
      <c r="D12" s="16" t="s">
        <v>9</v>
      </c>
      <c r="E12" s="8" t="s">
        <v>10</v>
      </c>
      <c r="F12" s="10" t="s">
        <v>11</v>
      </c>
      <c r="G12" s="10" t="s">
        <v>12</v>
      </c>
      <c r="H12" s="30"/>
    </row>
    <row r="13" spans="1:10" x14ac:dyDescent="0.2">
      <c r="A13" s="25"/>
      <c r="B13" s="7">
        <v>1</v>
      </c>
      <c r="C13" s="11" t="s">
        <v>374</v>
      </c>
      <c r="D13" s="76"/>
      <c r="E13" s="76"/>
      <c r="F13" s="76"/>
      <c r="G13" s="76"/>
      <c r="H13" s="30"/>
      <c r="J13" s="122"/>
    </row>
    <row r="14" spans="1:10" x14ac:dyDescent="0.2">
      <c r="A14" s="25"/>
      <c r="B14" s="7">
        <v>1.1000000000000001</v>
      </c>
      <c r="C14" s="11" t="s">
        <v>375</v>
      </c>
      <c r="D14" s="76"/>
      <c r="E14" s="76"/>
      <c r="F14" s="76"/>
      <c r="G14" s="76"/>
      <c r="H14" s="30"/>
      <c r="J14" s="122"/>
    </row>
    <row r="15" spans="1:10" ht="17" x14ac:dyDescent="0.2">
      <c r="A15" s="25"/>
      <c r="B15" s="7" t="s">
        <v>320</v>
      </c>
      <c r="C15" s="45" t="s">
        <v>376</v>
      </c>
      <c r="D15" s="18">
        <f>(8+8+3+1.5+5.5+6+2.4)*2.6</f>
        <v>89.44</v>
      </c>
      <c r="E15" s="7" t="s">
        <v>19</v>
      </c>
      <c r="F15" s="18">
        <v>10</v>
      </c>
      <c r="G15" s="94">
        <f t="shared" ref="G15:G16" si="0">D15*F15</f>
        <v>894.4</v>
      </c>
      <c r="H15" s="30"/>
      <c r="J15" s="3"/>
    </row>
    <row r="16" spans="1:10" ht="17" x14ac:dyDescent="0.2">
      <c r="A16" s="25"/>
      <c r="B16" s="7" t="s">
        <v>322</v>
      </c>
      <c r="C16" s="45" t="s">
        <v>377</v>
      </c>
      <c r="D16" s="18">
        <f>(4.2*2+6+3*3+2.2+2.5+4.5*2+3.5*2+2.4+4.2)*2.6</f>
        <v>131.82</v>
      </c>
      <c r="E16" s="7" t="s">
        <v>19</v>
      </c>
      <c r="F16" s="18">
        <v>10</v>
      </c>
      <c r="G16" s="94">
        <f t="shared" si="0"/>
        <v>1318.1999999999998</v>
      </c>
      <c r="H16" s="30"/>
      <c r="J16" s="3"/>
    </row>
    <row r="17" spans="1:10" ht="409" customHeight="1" x14ac:dyDescent="0.2">
      <c r="A17" s="25"/>
      <c r="B17" s="7"/>
      <c r="C17" s="44" t="s">
        <v>378</v>
      </c>
      <c r="D17" s="76"/>
      <c r="E17" s="76"/>
      <c r="F17" s="76"/>
      <c r="G17" s="76"/>
      <c r="H17" s="30"/>
      <c r="J17" s="3"/>
    </row>
    <row r="18" spans="1:10" x14ac:dyDescent="0.2">
      <c r="A18" s="25"/>
      <c r="B18" s="7">
        <v>1.2</v>
      </c>
      <c r="C18" s="11" t="s">
        <v>379</v>
      </c>
      <c r="D18" s="76"/>
      <c r="E18" s="76"/>
      <c r="F18" s="76"/>
      <c r="G18" s="76"/>
      <c r="H18" s="30"/>
      <c r="J18" s="3"/>
    </row>
    <row r="19" spans="1:10" ht="17" x14ac:dyDescent="0.2">
      <c r="A19" s="25"/>
      <c r="B19" s="7" t="s">
        <v>380</v>
      </c>
      <c r="C19" s="45" t="s">
        <v>376</v>
      </c>
      <c r="D19" s="18">
        <v>10</v>
      </c>
      <c r="E19" s="7" t="s">
        <v>27</v>
      </c>
      <c r="F19" s="18">
        <v>20</v>
      </c>
      <c r="G19" s="94">
        <f t="shared" ref="G19:G20" si="1">D19*F19</f>
        <v>200</v>
      </c>
      <c r="H19" s="30"/>
      <c r="J19" s="3"/>
    </row>
    <row r="20" spans="1:10" ht="17" x14ac:dyDescent="0.2">
      <c r="A20" s="25"/>
      <c r="B20" s="7" t="s">
        <v>381</v>
      </c>
      <c r="C20" s="45" t="s">
        <v>377</v>
      </c>
      <c r="D20" s="18">
        <v>29</v>
      </c>
      <c r="E20" s="7" t="s">
        <v>27</v>
      </c>
      <c r="F20" s="18">
        <v>20</v>
      </c>
      <c r="G20" s="94">
        <f t="shared" si="1"/>
        <v>580</v>
      </c>
      <c r="H20" s="30"/>
      <c r="J20" s="3"/>
    </row>
    <row r="21" spans="1:10" ht="256" customHeight="1" x14ac:dyDescent="0.2">
      <c r="A21" s="25"/>
      <c r="B21" s="7"/>
      <c r="C21" s="44" t="s">
        <v>382</v>
      </c>
      <c r="D21" s="76"/>
      <c r="E21" s="76"/>
      <c r="F21" s="76"/>
      <c r="G21" s="76"/>
      <c r="H21" s="30"/>
      <c r="J21" s="3"/>
    </row>
    <row r="22" spans="1:10" ht="29.5" customHeight="1" x14ac:dyDescent="0.2">
      <c r="A22" s="25"/>
      <c r="B22" s="7">
        <v>2</v>
      </c>
      <c r="C22" s="45" t="s">
        <v>383</v>
      </c>
      <c r="D22" s="18">
        <f>(8+4.5+4+6+7+2+3)*2+10+12-4+50</f>
        <v>137</v>
      </c>
      <c r="E22" s="7" t="s">
        <v>27</v>
      </c>
      <c r="F22" s="18">
        <v>10</v>
      </c>
      <c r="G22" s="94">
        <f t="shared" ref="G22" si="2">D22*F22</f>
        <v>1370</v>
      </c>
      <c r="H22" s="30"/>
      <c r="J22" s="3"/>
    </row>
    <row r="23" spans="1:10" ht="327" customHeight="1" x14ac:dyDescent="0.2">
      <c r="A23" s="25"/>
      <c r="B23" s="7"/>
      <c r="C23" s="44" t="s">
        <v>384</v>
      </c>
      <c r="D23" s="76"/>
      <c r="E23" s="76"/>
      <c r="F23" s="76"/>
      <c r="G23" s="76"/>
      <c r="H23" s="30"/>
      <c r="J23" s="3"/>
    </row>
    <row r="24" spans="1:10" ht="17" x14ac:dyDescent="0.2">
      <c r="A24" s="25"/>
      <c r="B24" s="48">
        <v>3</v>
      </c>
      <c r="C24" s="45" t="s">
        <v>385</v>
      </c>
      <c r="D24" s="76"/>
      <c r="E24" s="76"/>
      <c r="F24" s="76"/>
      <c r="G24" s="76"/>
      <c r="H24" s="30"/>
      <c r="J24" s="3"/>
    </row>
    <row r="25" spans="1:10" ht="308" customHeight="1" x14ac:dyDescent="0.2">
      <c r="A25" s="25"/>
      <c r="B25" s="48"/>
      <c r="C25" s="44" t="s">
        <v>386</v>
      </c>
      <c r="D25" s="76"/>
      <c r="E25" s="76"/>
      <c r="F25" s="76"/>
      <c r="G25" s="76"/>
      <c r="H25" s="30"/>
      <c r="J25" s="3"/>
    </row>
    <row r="26" spans="1:10" ht="17" x14ac:dyDescent="0.2">
      <c r="A26" s="25"/>
      <c r="B26" s="7">
        <v>3.2</v>
      </c>
      <c r="C26" s="45" t="s">
        <v>376</v>
      </c>
      <c r="D26" s="18">
        <f>3+5.5+4.5+10.5+(7+10+9+17)*1.5-4*2.15*1.1</f>
        <v>78.539999999999992</v>
      </c>
      <c r="E26" s="7" t="s">
        <v>27</v>
      </c>
      <c r="F26" s="18">
        <v>30</v>
      </c>
      <c r="G26" s="94">
        <f t="shared" ref="G26:G27" si="3">D26*F26</f>
        <v>2356.1999999999998</v>
      </c>
      <c r="H26" s="30"/>
      <c r="J26" s="3"/>
    </row>
    <row r="27" spans="1:10" ht="17" x14ac:dyDescent="0.2">
      <c r="A27" s="25"/>
      <c r="B27" s="7">
        <v>3.3</v>
      </c>
      <c r="C27" s="45" t="s">
        <v>377</v>
      </c>
      <c r="D27" s="18">
        <f>3+3+5+(7+7+10)*1.5-3*2.15*1.1</f>
        <v>39.905000000000001</v>
      </c>
      <c r="E27" s="7" t="s">
        <v>27</v>
      </c>
      <c r="F27" s="18">
        <v>30</v>
      </c>
      <c r="G27" s="94">
        <f t="shared" si="3"/>
        <v>1197.1500000000001</v>
      </c>
      <c r="H27" s="30"/>
      <c r="J27" s="3"/>
    </row>
    <row r="28" spans="1:10" ht="17" x14ac:dyDescent="0.2">
      <c r="A28" s="25"/>
      <c r="B28" s="48">
        <v>4</v>
      </c>
      <c r="C28" s="45" t="s">
        <v>387</v>
      </c>
      <c r="D28" s="76"/>
      <c r="E28" s="76"/>
      <c r="F28" s="76"/>
      <c r="G28" s="76"/>
      <c r="H28" s="30"/>
      <c r="J28" s="3"/>
    </row>
    <row r="29" spans="1:10" ht="243" customHeight="1" x14ac:dyDescent="0.2">
      <c r="A29" s="25"/>
      <c r="B29" s="48"/>
      <c r="C29" s="44" t="s">
        <v>388</v>
      </c>
      <c r="D29" s="76"/>
      <c r="E29" s="76"/>
      <c r="F29" s="76"/>
      <c r="G29" s="76"/>
      <c r="H29" s="30"/>
      <c r="J29" s="3"/>
    </row>
    <row r="30" spans="1:10" ht="17" x14ac:dyDescent="0.2">
      <c r="A30" s="25"/>
      <c r="B30" s="48">
        <v>4.0999999999999996</v>
      </c>
      <c r="C30" s="70" t="s">
        <v>211</v>
      </c>
      <c r="D30" s="18">
        <v>28</v>
      </c>
      <c r="E30" s="7" t="s">
        <v>19</v>
      </c>
      <c r="F30" s="18">
        <v>50</v>
      </c>
      <c r="G30" s="94">
        <f t="shared" ref="G30" si="4">D30*F30</f>
        <v>1400</v>
      </c>
      <c r="H30" s="30"/>
      <c r="J30" s="3"/>
    </row>
    <row r="31" spans="1:10" ht="17" x14ac:dyDescent="0.2">
      <c r="A31" s="25"/>
      <c r="B31" s="48">
        <v>4.2</v>
      </c>
      <c r="C31" s="70" t="s">
        <v>213</v>
      </c>
      <c r="D31" s="18">
        <v>40</v>
      </c>
      <c r="E31" s="7" t="s">
        <v>19</v>
      </c>
      <c r="F31" s="18">
        <v>50</v>
      </c>
      <c r="G31" s="94">
        <f t="shared" ref="G31" si="5">D31*F31</f>
        <v>2000</v>
      </c>
      <c r="H31" s="30"/>
      <c r="J31" s="3"/>
    </row>
    <row r="32" spans="1:10" ht="17" x14ac:dyDescent="0.2">
      <c r="A32" s="25"/>
      <c r="B32" s="48">
        <v>5</v>
      </c>
      <c r="C32" s="45" t="s">
        <v>389</v>
      </c>
      <c r="D32" s="18">
        <v>4</v>
      </c>
      <c r="E32" s="7" t="s">
        <v>224</v>
      </c>
      <c r="F32" s="18">
        <v>50</v>
      </c>
      <c r="G32" s="94">
        <f t="shared" ref="G32" si="6">D32*F32</f>
        <v>200</v>
      </c>
      <c r="H32" s="30"/>
      <c r="J32" s="3"/>
    </row>
    <row r="33" spans="1:10" ht="180.5" customHeight="1" x14ac:dyDescent="0.2">
      <c r="A33" s="25"/>
      <c r="B33" s="48"/>
      <c r="C33" s="70" t="s">
        <v>390</v>
      </c>
      <c r="D33" s="76"/>
      <c r="E33" s="76"/>
      <c r="F33" s="76"/>
      <c r="G33" s="76"/>
      <c r="H33" s="30"/>
      <c r="J33" s="3"/>
    </row>
    <row r="34" spans="1:10" ht="17" x14ac:dyDescent="0.2">
      <c r="A34" s="25"/>
      <c r="B34" s="48">
        <v>6</v>
      </c>
      <c r="C34" s="45" t="s">
        <v>391</v>
      </c>
      <c r="D34" s="18">
        <v>2</v>
      </c>
      <c r="E34" s="7" t="s">
        <v>224</v>
      </c>
      <c r="F34" s="18">
        <v>350</v>
      </c>
      <c r="G34" s="94">
        <f t="shared" ref="G34" si="7">D34*F34</f>
        <v>700</v>
      </c>
      <c r="H34" s="30"/>
      <c r="J34" s="3"/>
    </row>
    <row r="35" spans="1:10" ht="187.5" customHeight="1" x14ac:dyDescent="0.2">
      <c r="A35" s="25"/>
      <c r="B35" s="48"/>
      <c r="C35" s="70" t="s">
        <v>392</v>
      </c>
      <c r="D35" s="76"/>
      <c r="E35" s="76"/>
      <c r="F35" s="76"/>
      <c r="G35" s="76"/>
      <c r="H35" s="30"/>
      <c r="J35" s="3"/>
    </row>
    <row r="36" spans="1:10" ht="17" x14ac:dyDescent="0.2">
      <c r="A36" s="25"/>
      <c r="B36" s="48">
        <v>7</v>
      </c>
      <c r="C36" s="45" t="s">
        <v>393</v>
      </c>
      <c r="D36" s="18">
        <v>11</v>
      </c>
      <c r="E36" s="7" t="s">
        <v>224</v>
      </c>
      <c r="F36" s="18">
        <v>50</v>
      </c>
      <c r="G36" s="94">
        <f t="shared" ref="G36" si="8">D36*F36</f>
        <v>550</v>
      </c>
      <c r="H36" s="30"/>
      <c r="J36" s="3"/>
    </row>
    <row r="37" spans="1:10" ht="167" customHeight="1" x14ac:dyDescent="0.2">
      <c r="A37" s="25"/>
      <c r="B37" s="48"/>
      <c r="C37" s="70" t="s">
        <v>394</v>
      </c>
      <c r="D37" s="76"/>
      <c r="E37" s="76"/>
      <c r="F37" s="76"/>
      <c r="G37" s="76"/>
      <c r="H37" s="30"/>
      <c r="J37" s="3"/>
    </row>
    <row r="38" spans="1:10" ht="31" customHeight="1" x14ac:dyDescent="0.2">
      <c r="A38" s="25"/>
      <c r="B38" s="48">
        <v>8</v>
      </c>
      <c r="C38" s="45" t="s">
        <v>395</v>
      </c>
      <c r="D38" s="18">
        <v>9</v>
      </c>
      <c r="E38" s="7" t="s">
        <v>27</v>
      </c>
      <c r="F38" s="18">
        <v>5</v>
      </c>
      <c r="G38" s="94">
        <f>D38*F38</f>
        <v>45</v>
      </c>
      <c r="H38" s="30"/>
      <c r="J38" s="3"/>
    </row>
    <row r="39" spans="1:10" ht="125.5" customHeight="1" x14ac:dyDescent="0.2">
      <c r="A39" s="25"/>
      <c r="B39" s="48"/>
      <c r="C39" s="51" t="s">
        <v>396</v>
      </c>
      <c r="D39" s="76"/>
      <c r="E39" s="76"/>
      <c r="F39" s="76"/>
      <c r="G39" s="76"/>
      <c r="H39" s="30"/>
      <c r="J39" s="3"/>
    </row>
    <row r="40" spans="1:10" ht="34" x14ac:dyDescent="0.2">
      <c r="A40" s="25"/>
      <c r="B40" s="48">
        <v>9</v>
      </c>
      <c r="C40" s="45" t="s">
        <v>397</v>
      </c>
      <c r="D40" s="18">
        <v>3</v>
      </c>
      <c r="E40" s="7" t="s">
        <v>224</v>
      </c>
      <c r="F40" s="18">
        <v>150</v>
      </c>
      <c r="G40" s="94">
        <f>D40*F40</f>
        <v>450</v>
      </c>
      <c r="H40" s="30"/>
      <c r="J40" s="3"/>
    </row>
    <row r="41" spans="1:10" ht="196" customHeight="1" x14ac:dyDescent="0.2">
      <c r="A41" s="25"/>
      <c r="B41" s="48"/>
      <c r="C41" s="51" t="s">
        <v>398</v>
      </c>
      <c r="D41" s="18"/>
      <c r="E41" s="7"/>
      <c r="F41" s="13"/>
      <c r="G41" s="12"/>
      <c r="H41" s="30"/>
      <c r="J41" s="3"/>
    </row>
    <row r="42" spans="1:10" ht="34" x14ac:dyDescent="0.2">
      <c r="A42" s="25"/>
      <c r="B42" s="7">
        <v>10</v>
      </c>
      <c r="C42" s="45" t="s">
        <v>399</v>
      </c>
      <c r="D42" s="18">
        <v>15</v>
      </c>
      <c r="E42" s="7" t="s">
        <v>19</v>
      </c>
      <c r="F42" s="18">
        <v>60</v>
      </c>
      <c r="G42" s="94">
        <f>D42*F42</f>
        <v>900</v>
      </c>
      <c r="H42" s="30"/>
      <c r="J42" s="3"/>
    </row>
    <row r="43" spans="1:10" ht="300.75" customHeight="1" x14ac:dyDescent="0.2">
      <c r="A43" s="25"/>
      <c r="B43" s="7"/>
      <c r="C43" s="44" t="s">
        <v>400</v>
      </c>
      <c r="D43" s="76"/>
      <c r="E43" s="76"/>
      <c r="F43" s="76"/>
      <c r="G43" s="76"/>
      <c r="H43" s="30"/>
      <c r="J43" s="3"/>
    </row>
    <row r="44" spans="1:10" x14ac:dyDescent="0.2">
      <c r="A44" s="25"/>
      <c r="B44" s="110" t="s">
        <v>79</v>
      </c>
      <c r="C44" s="111"/>
      <c r="D44" s="111"/>
      <c r="E44" s="111"/>
      <c r="F44" s="112"/>
      <c r="G44" s="94">
        <f>SUM(G14:G43)</f>
        <v>14160.95</v>
      </c>
      <c r="H44" s="32"/>
    </row>
    <row r="45" spans="1:10" x14ac:dyDescent="0.2">
      <c r="A45" s="25"/>
      <c r="B45" s="113"/>
      <c r="C45" s="113"/>
      <c r="D45" s="130"/>
      <c r="E45" s="113"/>
      <c r="F45" s="113"/>
      <c r="G45" s="113"/>
      <c r="H45" s="27"/>
    </row>
    <row r="46" spans="1:10" ht="19" x14ac:dyDescent="0.2">
      <c r="A46" s="25"/>
      <c r="B46" s="124" t="s">
        <v>243</v>
      </c>
      <c r="C46" s="124"/>
      <c r="D46" s="128"/>
      <c r="E46" s="124"/>
      <c r="F46" s="124"/>
      <c r="G46" s="124"/>
      <c r="H46" s="27"/>
    </row>
    <row r="47" spans="1:10" x14ac:dyDescent="0.2">
      <c r="A47" s="25"/>
      <c r="B47" s="123" t="s">
        <v>401</v>
      </c>
      <c r="C47" s="123"/>
      <c r="D47" s="129"/>
      <c r="E47" s="123"/>
      <c r="F47" s="123"/>
      <c r="G47" s="123"/>
      <c r="H47" s="27"/>
    </row>
    <row r="48" spans="1:10" x14ac:dyDescent="0.2">
      <c r="A48" s="25"/>
      <c r="B48" s="8" t="s">
        <v>7</v>
      </c>
      <c r="C48" s="8" t="s">
        <v>8</v>
      </c>
      <c r="D48" s="16" t="s">
        <v>9</v>
      </c>
      <c r="E48" s="8" t="s">
        <v>10</v>
      </c>
      <c r="F48" s="10" t="s">
        <v>11</v>
      </c>
      <c r="G48" s="10" t="s">
        <v>12</v>
      </c>
      <c r="H48" s="27"/>
    </row>
    <row r="49" spans="1:10" x14ac:dyDescent="0.2">
      <c r="A49" s="25"/>
      <c r="B49" s="7">
        <v>1</v>
      </c>
      <c r="C49" s="11" t="s">
        <v>374</v>
      </c>
      <c r="D49" s="76"/>
      <c r="E49" s="76"/>
      <c r="F49" s="76"/>
      <c r="G49" s="76"/>
      <c r="H49" s="27"/>
    </row>
    <row r="50" spans="1:10" ht="17" x14ac:dyDescent="0.2">
      <c r="A50" s="25"/>
      <c r="B50" s="7">
        <v>1.1000000000000001</v>
      </c>
      <c r="C50" s="44" t="s">
        <v>402</v>
      </c>
      <c r="D50" s="18">
        <f>(4.2+4.1+8.8+3.5+3.5+3.3+1.7+3.1+2.8+9.7+10+22)*2.8</f>
        <v>214.76</v>
      </c>
      <c r="E50" s="7" t="s">
        <v>19</v>
      </c>
      <c r="F50" s="18">
        <v>8</v>
      </c>
      <c r="G50" s="94">
        <f t="shared" ref="G50" si="9">D50*F50</f>
        <v>1718.08</v>
      </c>
      <c r="H50" s="27"/>
    </row>
    <row r="51" spans="1:10" ht="409.6" x14ac:dyDescent="0.2">
      <c r="A51" s="25"/>
      <c r="B51" s="7"/>
      <c r="C51" s="44" t="s">
        <v>378</v>
      </c>
      <c r="D51" s="76"/>
      <c r="E51" s="76"/>
      <c r="F51" s="76"/>
      <c r="G51" s="76"/>
      <c r="H51" s="27"/>
      <c r="J51" s="4"/>
    </row>
    <row r="52" spans="1:10" ht="17" x14ac:dyDescent="0.2">
      <c r="A52" s="25"/>
      <c r="B52" s="7">
        <v>2</v>
      </c>
      <c r="C52" s="45" t="s">
        <v>403</v>
      </c>
      <c r="D52" s="76"/>
      <c r="E52" s="76"/>
      <c r="F52" s="76"/>
      <c r="G52" s="76"/>
      <c r="H52" s="27"/>
    </row>
    <row r="53" spans="1:10" ht="17" x14ac:dyDescent="0.2">
      <c r="A53" s="25"/>
      <c r="B53" s="7">
        <v>2.1</v>
      </c>
      <c r="C53" s="45" t="s">
        <v>404</v>
      </c>
      <c r="D53" s="18">
        <v>105</v>
      </c>
      <c r="E53" s="7" t="s">
        <v>19</v>
      </c>
      <c r="F53" s="18">
        <v>20</v>
      </c>
      <c r="G53" s="94">
        <f t="shared" ref="G53" si="10">D53*F53</f>
        <v>2100</v>
      </c>
      <c r="H53" s="27"/>
    </row>
    <row r="54" spans="1:10" ht="263.5" customHeight="1" x14ac:dyDescent="0.2">
      <c r="A54" s="25"/>
      <c r="B54" s="7" t="s">
        <v>405</v>
      </c>
      <c r="C54" s="51" t="s">
        <v>406</v>
      </c>
      <c r="D54" s="76"/>
      <c r="E54" s="76"/>
      <c r="F54" s="76"/>
      <c r="G54" s="76"/>
      <c r="H54" s="27"/>
    </row>
    <row r="55" spans="1:10" ht="17" x14ac:dyDescent="0.2">
      <c r="A55" s="25"/>
      <c r="B55" s="7" t="s">
        <v>407</v>
      </c>
      <c r="C55" s="79" t="s">
        <v>408</v>
      </c>
      <c r="D55" s="18">
        <v>60</v>
      </c>
      <c r="E55" s="7" t="s">
        <v>27</v>
      </c>
      <c r="F55" s="18">
        <v>7</v>
      </c>
      <c r="G55" s="94">
        <f>D55*F55</f>
        <v>420</v>
      </c>
      <c r="H55" s="27"/>
    </row>
    <row r="56" spans="1:10" ht="34" x14ac:dyDescent="0.2">
      <c r="A56" s="25"/>
      <c r="B56" s="7" t="s">
        <v>409</v>
      </c>
      <c r="C56" s="79" t="s">
        <v>137</v>
      </c>
      <c r="D56" s="18">
        <v>25</v>
      </c>
      <c r="E56" s="7" t="s">
        <v>27</v>
      </c>
      <c r="F56" s="18">
        <v>7</v>
      </c>
      <c r="G56" s="94">
        <f>D56*F56</f>
        <v>175</v>
      </c>
      <c r="H56" s="27"/>
    </row>
    <row r="57" spans="1:10" ht="17" x14ac:dyDescent="0.2">
      <c r="A57" s="25"/>
      <c r="B57" s="7">
        <v>2.2000000000000002</v>
      </c>
      <c r="C57" s="79" t="s">
        <v>410</v>
      </c>
      <c r="D57" s="18">
        <f>(10.6*7+11+15.5+8.5+8.3+9+9+11.5+10.7+9+10.6)</f>
        <v>177.29999999999998</v>
      </c>
      <c r="E57" s="7" t="s">
        <v>19</v>
      </c>
      <c r="F57" s="18">
        <v>35</v>
      </c>
      <c r="G57" s="94">
        <f t="shared" ref="G57" si="11">D57*F57</f>
        <v>6205.4999999999991</v>
      </c>
      <c r="H57" s="27"/>
    </row>
    <row r="58" spans="1:10" ht="371" customHeight="1" x14ac:dyDescent="0.2">
      <c r="A58" s="25"/>
      <c r="B58" s="7" t="s">
        <v>411</v>
      </c>
      <c r="C58" s="51" t="s">
        <v>412</v>
      </c>
      <c r="D58" s="76"/>
      <c r="E58" s="76"/>
      <c r="F58" s="76"/>
      <c r="G58" s="76"/>
      <c r="H58" s="27"/>
    </row>
    <row r="59" spans="1:10" ht="17" x14ac:dyDescent="0.2">
      <c r="A59" s="25"/>
      <c r="B59" s="7" t="s">
        <v>413</v>
      </c>
      <c r="C59" s="79" t="s">
        <v>414</v>
      </c>
      <c r="D59" s="18">
        <v>65</v>
      </c>
      <c r="E59" s="7" t="s">
        <v>27</v>
      </c>
      <c r="F59" s="18">
        <v>7</v>
      </c>
      <c r="G59" s="94">
        <f>D59*F59</f>
        <v>455</v>
      </c>
      <c r="H59" s="27"/>
    </row>
    <row r="60" spans="1:10" ht="51" x14ac:dyDescent="0.2">
      <c r="A60" s="25"/>
      <c r="B60" s="7" t="s">
        <v>415</v>
      </c>
      <c r="C60" s="85" t="s">
        <v>416</v>
      </c>
      <c r="D60" s="18">
        <v>160</v>
      </c>
      <c r="E60" s="7" t="s">
        <v>27</v>
      </c>
      <c r="F60" s="18">
        <v>7</v>
      </c>
      <c r="G60" s="94">
        <f>D60*F60</f>
        <v>1120</v>
      </c>
      <c r="H60" s="27"/>
    </row>
    <row r="61" spans="1:10" ht="17" x14ac:dyDescent="0.2">
      <c r="A61" s="25"/>
      <c r="B61" s="7">
        <v>3</v>
      </c>
      <c r="C61" s="79" t="s">
        <v>417</v>
      </c>
      <c r="D61" s="76"/>
      <c r="E61" s="76"/>
      <c r="F61" s="76"/>
      <c r="G61" s="76"/>
      <c r="H61" s="27"/>
    </row>
    <row r="62" spans="1:10" ht="17" x14ac:dyDescent="0.2">
      <c r="A62" s="25"/>
      <c r="B62" s="7">
        <v>3.1</v>
      </c>
      <c r="C62" s="79" t="s">
        <v>418</v>
      </c>
      <c r="D62" s="76"/>
      <c r="E62" s="76"/>
      <c r="F62" s="76"/>
      <c r="G62" s="76"/>
      <c r="H62" s="27"/>
    </row>
    <row r="63" spans="1:10" ht="17" x14ac:dyDescent="0.2">
      <c r="A63" s="25"/>
      <c r="B63" s="7" t="s">
        <v>419</v>
      </c>
      <c r="C63" s="79" t="s">
        <v>420</v>
      </c>
      <c r="D63" s="18">
        <v>32</v>
      </c>
      <c r="E63" s="7" t="s">
        <v>19</v>
      </c>
      <c r="F63" s="18">
        <v>30</v>
      </c>
      <c r="G63" s="94">
        <f>D63*F63</f>
        <v>960</v>
      </c>
      <c r="H63" s="27"/>
    </row>
    <row r="64" spans="1:10" ht="409.6" x14ac:dyDescent="0.2">
      <c r="A64" s="25"/>
      <c r="B64" s="7"/>
      <c r="C64" s="51" t="s">
        <v>421</v>
      </c>
      <c r="D64" s="76"/>
      <c r="E64" s="76"/>
      <c r="F64" s="76"/>
      <c r="G64" s="76"/>
      <c r="H64" s="27"/>
    </row>
    <row r="65" spans="1:8" ht="17" x14ac:dyDescent="0.2">
      <c r="A65" s="25"/>
      <c r="B65" s="7" t="s">
        <v>422</v>
      </c>
      <c r="C65" s="79" t="s">
        <v>423</v>
      </c>
      <c r="D65" s="18">
        <v>33</v>
      </c>
      <c r="E65" s="7" t="s">
        <v>27</v>
      </c>
      <c r="F65" s="18">
        <v>10</v>
      </c>
      <c r="G65" s="94">
        <f>D65*F65</f>
        <v>330</v>
      </c>
      <c r="H65" s="27"/>
    </row>
    <row r="66" spans="1:8" ht="157.5" customHeight="1" x14ac:dyDescent="0.2">
      <c r="A66" s="25"/>
      <c r="B66" s="7"/>
      <c r="C66" s="51" t="s">
        <v>424</v>
      </c>
      <c r="D66" s="76"/>
      <c r="E66" s="76"/>
      <c r="F66" s="76"/>
      <c r="G66" s="76"/>
      <c r="H66" s="51"/>
    </row>
    <row r="67" spans="1:8" ht="17" x14ac:dyDescent="0.2">
      <c r="A67" s="25"/>
      <c r="B67" s="7">
        <v>3.2</v>
      </c>
      <c r="C67" s="79" t="s">
        <v>425</v>
      </c>
      <c r="D67" s="18">
        <f>(9+15*1.5+3+9*1.5+7+9*1.5)</f>
        <v>68.5</v>
      </c>
      <c r="E67" s="7" t="s">
        <v>19</v>
      </c>
      <c r="F67" s="18">
        <v>30</v>
      </c>
      <c r="G67" s="94">
        <f>D67*F67</f>
        <v>2055</v>
      </c>
      <c r="H67" s="80"/>
    </row>
    <row r="68" spans="1:8" ht="356" x14ac:dyDescent="0.2">
      <c r="A68" s="25"/>
      <c r="B68" s="7"/>
      <c r="C68" s="51" t="s">
        <v>426</v>
      </c>
      <c r="D68" s="76"/>
      <c r="E68" s="76"/>
      <c r="F68" s="76"/>
      <c r="G68" s="76"/>
      <c r="H68" s="80"/>
    </row>
    <row r="69" spans="1:8" ht="32" customHeight="1" x14ac:dyDescent="0.2">
      <c r="A69" s="25"/>
      <c r="B69" s="7">
        <v>4</v>
      </c>
      <c r="C69" s="79" t="s">
        <v>427</v>
      </c>
      <c r="D69" s="76"/>
      <c r="E69" s="76"/>
      <c r="F69" s="76"/>
      <c r="G69" s="76"/>
      <c r="H69" s="80"/>
    </row>
    <row r="70" spans="1:8" ht="32" customHeight="1" x14ac:dyDescent="0.2">
      <c r="A70" s="25"/>
      <c r="B70" s="7">
        <v>4.0999999999999996</v>
      </c>
      <c r="C70" s="51" t="s">
        <v>428</v>
      </c>
      <c r="D70" s="18">
        <v>3</v>
      </c>
      <c r="E70" s="7" t="s">
        <v>10</v>
      </c>
      <c r="F70" s="18">
        <v>200</v>
      </c>
      <c r="G70" s="94">
        <f>D70*F70</f>
        <v>600</v>
      </c>
      <c r="H70" s="80"/>
    </row>
    <row r="71" spans="1:8" ht="99.5" customHeight="1" x14ac:dyDescent="0.2">
      <c r="A71" s="25"/>
      <c r="B71" s="7">
        <v>4.2</v>
      </c>
      <c r="C71" s="51" t="s">
        <v>429</v>
      </c>
      <c r="D71" s="18">
        <v>3</v>
      </c>
      <c r="E71" s="7" t="s">
        <v>10</v>
      </c>
      <c r="F71" s="18">
        <v>300</v>
      </c>
      <c r="G71" s="94">
        <f t="shared" ref="G71:G88" si="12">D71*F71</f>
        <v>900</v>
      </c>
      <c r="H71" s="80"/>
    </row>
    <row r="72" spans="1:8" ht="32" customHeight="1" x14ac:dyDescent="0.2">
      <c r="A72" s="25"/>
      <c r="B72" s="7">
        <v>4.3</v>
      </c>
      <c r="C72" s="51" t="s">
        <v>430</v>
      </c>
      <c r="D72" s="18">
        <v>4</v>
      </c>
      <c r="E72" s="7" t="s">
        <v>10</v>
      </c>
      <c r="F72" s="18">
        <v>200</v>
      </c>
      <c r="G72" s="94">
        <f t="shared" si="12"/>
        <v>800</v>
      </c>
      <c r="H72" s="80"/>
    </row>
    <row r="73" spans="1:8" ht="103.5" customHeight="1" x14ac:dyDescent="0.2">
      <c r="A73" s="25"/>
      <c r="B73" s="7">
        <v>4.4000000000000004</v>
      </c>
      <c r="C73" s="81" t="s">
        <v>431</v>
      </c>
      <c r="D73" s="18">
        <v>3</v>
      </c>
      <c r="E73" s="7" t="s">
        <v>10</v>
      </c>
      <c r="F73" s="18">
        <v>300</v>
      </c>
      <c r="G73" s="94">
        <f t="shared" si="12"/>
        <v>900</v>
      </c>
      <c r="H73" s="80"/>
    </row>
    <row r="74" spans="1:8" ht="34" x14ac:dyDescent="0.2">
      <c r="A74" s="25"/>
      <c r="B74" s="7">
        <v>4.5</v>
      </c>
      <c r="C74" s="51" t="s">
        <v>432</v>
      </c>
      <c r="D74" s="18">
        <v>6</v>
      </c>
      <c r="E74" s="7" t="s">
        <v>10</v>
      </c>
      <c r="F74" s="18">
        <v>50</v>
      </c>
      <c r="G74" s="94">
        <f t="shared" si="12"/>
        <v>300</v>
      </c>
      <c r="H74" s="80"/>
    </row>
    <row r="75" spans="1:8" ht="17" x14ac:dyDescent="0.2">
      <c r="A75" s="25"/>
      <c r="B75" s="7">
        <v>5</v>
      </c>
      <c r="C75" s="85" t="s">
        <v>433</v>
      </c>
      <c r="D75" s="76"/>
      <c r="E75" s="76"/>
      <c r="F75" s="76"/>
      <c r="G75" s="76"/>
      <c r="H75" s="80"/>
    </row>
    <row r="76" spans="1:8" ht="36" customHeight="1" x14ac:dyDescent="0.2">
      <c r="A76" s="25"/>
      <c r="B76" s="7">
        <v>5.0999999999999996</v>
      </c>
      <c r="C76" s="85" t="s">
        <v>434</v>
      </c>
      <c r="D76" s="18">
        <v>180</v>
      </c>
      <c r="E76" s="7" t="s">
        <v>19</v>
      </c>
      <c r="F76" s="18">
        <v>60</v>
      </c>
      <c r="G76" s="94">
        <f t="shared" ref="G76" si="13">D76*F76</f>
        <v>10800</v>
      </c>
      <c r="H76" s="80"/>
    </row>
    <row r="77" spans="1:8" ht="409.5" customHeight="1" x14ac:dyDescent="0.2">
      <c r="A77" s="25"/>
      <c r="B77" s="7"/>
      <c r="C77" s="84" t="s">
        <v>435</v>
      </c>
      <c r="D77" s="76"/>
      <c r="E77" s="76"/>
      <c r="F77" s="76"/>
      <c r="G77" s="76"/>
      <c r="H77" s="80"/>
    </row>
    <row r="78" spans="1:8" ht="17" x14ac:dyDescent="0.2">
      <c r="A78" s="25"/>
      <c r="B78" s="7">
        <v>5.2</v>
      </c>
      <c r="C78" s="85" t="s">
        <v>436</v>
      </c>
      <c r="D78" s="76"/>
      <c r="E78" s="76"/>
      <c r="F78" s="76"/>
      <c r="G78" s="76"/>
      <c r="H78" s="80"/>
    </row>
    <row r="79" spans="1:8" ht="278.5" customHeight="1" x14ac:dyDescent="0.2">
      <c r="A79" s="25"/>
      <c r="B79" s="7"/>
      <c r="C79" s="84" t="s">
        <v>437</v>
      </c>
      <c r="D79" s="76"/>
      <c r="E79" s="76"/>
      <c r="F79" s="76"/>
      <c r="G79" s="76"/>
      <c r="H79" s="80"/>
    </row>
    <row r="80" spans="1:8" ht="34" x14ac:dyDescent="0.2">
      <c r="A80" s="25"/>
      <c r="B80" s="7" t="s">
        <v>438</v>
      </c>
      <c r="C80" s="84" t="s">
        <v>439</v>
      </c>
      <c r="D80" s="18">
        <v>26</v>
      </c>
      <c r="E80" s="7" t="s">
        <v>19</v>
      </c>
      <c r="F80" s="18">
        <v>45</v>
      </c>
      <c r="G80" s="94">
        <f t="shared" ref="G80:G81" si="14">D80*F80</f>
        <v>1170</v>
      </c>
      <c r="H80" s="80"/>
    </row>
    <row r="81" spans="1:15" ht="32" customHeight="1" x14ac:dyDescent="0.2">
      <c r="A81" s="25"/>
      <c r="B81" s="7" t="s">
        <v>440</v>
      </c>
      <c r="C81" s="84" t="s">
        <v>441</v>
      </c>
      <c r="D81" s="18">
        <f>102+30</f>
        <v>132</v>
      </c>
      <c r="E81" s="7" t="s">
        <v>19</v>
      </c>
      <c r="F81" s="18">
        <v>55</v>
      </c>
      <c r="G81" s="94">
        <f t="shared" si="14"/>
        <v>7260</v>
      </c>
      <c r="H81" s="80"/>
      <c r="L81" s="76"/>
      <c r="M81" s="76"/>
      <c r="N81" s="76"/>
      <c r="O81" s="76"/>
    </row>
    <row r="82" spans="1:15" ht="39.5" customHeight="1" x14ac:dyDescent="0.2">
      <c r="A82" s="25"/>
      <c r="B82" s="7">
        <v>5.3</v>
      </c>
      <c r="C82" s="45" t="s">
        <v>442</v>
      </c>
      <c r="D82" s="18">
        <v>120</v>
      </c>
      <c r="E82" s="7" t="s">
        <v>224</v>
      </c>
      <c r="F82" s="18">
        <v>20</v>
      </c>
      <c r="G82" s="94">
        <f t="shared" ref="G82" si="15">D82*F82</f>
        <v>2400</v>
      </c>
      <c r="H82" s="80"/>
    </row>
    <row r="83" spans="1:15" ht="363" customHeight="1" x14ac:dyDescent="0.2">
      <c r="A83" s="25"/>
      <c r="B83" s="7"/>
      <c r="C83" s="44" t="s">
        <v>443</v>
      </c>
      <c r="D83" s="76"/>
      <c r="E83" s="76"/>
      <c r="F83" s="76"/>
      <c r="G83" s="76"/>
      <c r="H83" s="80"/>
    </row>
    <row r="84" spans="1:15" ht="17" x14ac:dyDescent="0.2">
      <c r="A84" s="25"/>
      <c r="B84" s="7">
        <v>5.4</v>
      </c>
      <c r="C84" s="85" t="s">
        <v>444</v>
      </c>
      <c r="D84" s="18">
        <f>9.8+9.6+5.17+12.2+9.5+1.75+2.9</f>
        <v>50.919999999999995</v>
      </c>
      <c r="E84" s="7" t="s">
        <v>27</v>
      </c>
      <c r="F84" s="18">
        <v>60</v>
      </c>
      <c r="G84" s="94">
        <f t="shared" ref="G84" si="16">D84*F84</f>
        <v>3055.2</v>
      </c>
      <c r="H84" s="80"/>
    </row>
    <row r="85" spans="1:15" ht="252.5" customHeight="1" x14ac:dyDescent="0.2">
      <c r="A85" s="25"/>
      <c r="B85" s="7"/>
      <c r="C85" s="84" t="s">
        <v>445</v>
      </c>
      <c r="D85" s="76"/>
      <c r="E85" s="76"/>
      <c r="F85" s="76"/>
      <c r="G85" s="76"/>
      <c r="H85" s="80"/>
    </row>
    <row r="86" spans="1:15" ht="41" customHeight="1" x14ac:dyDescent="0.2">
      <c r="A86" s="25"/>
      <c r="B86" s="48">
        <v>5.5</v>
      </c>
      <c r="C86" s="47" t="s">
        <v>446</v>
      </c>
      <c r="D86" s="18">
        <f>6.7+4+3.3+7.5+5.5+5.5</f>
        <v>32.5</v>
      </c>
      <c r="E86" s="7" t="s">
        <v>19</v>
      </c>
      <c r="F86" s="18">
        <v>50</v>
      </c>
      <c r="G86" s="94">
        <f>D86*F86</f>
        <v>1625</v>
      </c>
      <c r="H86" s="80"/>
    </row>
    <row r="87" spans="1:15" ht="409" customHeight="1" x14ac:dyDescent="0.2">
      <c r="A87" s="25"/>
      <c r="B87" s="48"/>
      <c r="C87" s="84" t="s">
        <v>447</v>
      </c>
      <c r="D87" s="76"/>
      <c r="E87" s="76"/>
      <c r="F87" s="76"/>
      <c r="G87" s="76"/>
      <c r="H87" s="80"/>
    </row>
    <row r="88" spans="1:15" ht="32" customHeight="1" x14ac:dyDescent="0.2">
      <c r="A88" s="25"/>
      <c r="B88" s="48">
        <v>6</v>
      </c>
      <c r="C88" s="45" t="s">
        <v>448</v>
      </c>
      <c r="D88" s="18">
        <v>67</v>
      </c>
      <c r="E88" s="7" t="s">
        <v>224</v>
      </c>
      <c r="F88" s="18">
        <v>30</v>
      </c>
      <c r="G88" s="94">
        <f t="shared" si="12"/>
        <v>2010</v>
      </c>
      <c r="H88" s="80"/>
    </row>
    <row r="89" spans="1:15" ht="141" customHeight="1" x14ac:dyDescent="0.2">
      <c r="A89" s="25"/>
      <c r="B89" s="48"/>
      <c r="C89" s="70" t="s">
        <v>449</v>
      </c>
      <c r="D89" s="76"/>
      <c r="E89" s="76"/>
      <c r="F89" s="76"/>
      <c r="G89" s="76"/>
      <c r="H89" s="80"/>
    </row>
    <row r="90" spans="1:15" ht="17" x14ac:dyDescent="0.2">
      <c r="A90" s="25"/>
      <c r="B90" s="48">
        <v>7</v>
      </c>
      <c r="C90" s="45" t="s">
        <v>450</v>
      </c>
      <c r="D90" s="18">
        <f>7+6</f>
        <v>13</v>
      </c>
      <c r="E90" s="7" t="s">
        <v>224</v>
      </c>
      <c r="F90" s="18">
        <v>20</v>
      </c>
      <c r="G90" s="94">
        <f t="shared" ref="G90" si="17">D90*F90</f>
        <v>260</v>
      </c>
      <c r="H90" s="80"/>
    </row>
    <row r="91" spans="1:15" ht="187" x14ac:dyDescent="0.2">
      <c r="A91" s="25"/>
      <c r="B91" s="48"/>
      <c r="C91" s="70" t="s">
        <v>451</v>
      </c>
      <c r="D91" s="76"/>
      <c r="E91" s="76"/>
      <c r="F91" s="76"/>
      <c r="G91" s="76"/>
      <c r="H91" s="80"/>
    </row>
    <row r="92" spans="1:15" ht="17" x14ac:dyDescent="0.2">
      <c r="A92" s="25"/>
      <c r="B92" s="48">
        <v>8</v>
      </c>
      <c r="C92" s="45" t="s">
        <v>452</v>
      </c>
      <c r="D92" s="18">
        <v>1</v>
      </c>
      <c r="E92" s="7" t="s">
        <v>224</v>
      </c>
      <c r="F92" s="18">
        <v>350</v>
      </c>
      <c r="G92" s="94">
        <f t="shared" ref="G92" si="18">D92*F92</f>
        <v>350</v>
      </c>
      <c r="H92" s="80"/>
    </row>
    <row r="93" spans="1:15" ht="165.5" customHeight="1" x14ac:dyDescent="0.2">
      <c r="A93" s="25"/>
      <c r="B93" s="48"/>
      <c r="C93" s="70" t="s">
        <v>453</v>
      </c>
      <c r="D93" s="76"/>
      <c r="E93" s="76"/>
      <c r="F93" s="76"/>
      <c r="G93" s="76"/>
      <c r="H93" s="80"/>
    </row>
    <row r="94" spans="1:15" ht="17" x14ac:dyDescent="0.2">
      <c r="A94" s="25"/>
      <c r="B94" s="48">
        <v>9</v>
      </c>
      <c r="C94" s="45" t="s">
        <v>454</v>
      </c>
      <c r="D94" s="18">
        <v>4</v>
      </c>
      <c r="E94" s="7" t="s">
        <v>224</v>
      </c>
      <c r="F94" s="18">
        <v>100</v>
      </c>
      <c r="G94" s="94">
        <f t="shared" ref="G94" si="19">D94*F94</f>
        <v>400</v>
      </c>
      <c r="H94" s="80"/>
    </row>
    <row r="95" spans="1:15" ht="181.5" customHeight="1" x14ac:dyDescent="0.2">
      <c r="A95" s="25"/>
      <c r="B95" s="48"/>
      <c r="C95" s="70" t="s">
        <v>455</v>
      </c>
      <c r="D95" s="76"/>
      <c r="E95" s="76"/>
      <c r="F95" s="76"/>
      <c r="G95" s="76"/>
      <c r="H95" s="80"/>
    </row>
    <row r="96" spans="1:15" ht="17" x14ac:dyDescent="0.2">
      <c r="A96" s="25"/>
      <c r="B96" s="48">
        <v>10</v>
      </c>
      <c r="C96" s="45" t="s">
        <v>456</v>
      </c>
      <c r="D96" s="18">
        <f>5+2*4+4.7+4+3+6+3*3+4*3.2+6+4*3.5+6*4+1.7+7*4</f>
        <v>126.2</v>
      </c>
      <c r="E96" s="7" t="s">
        <v>27</v>
      </c>
      <c r="F96" s="18">
        <v>5</v>
      </c>
      <c r="G96" s="94">
        <f>D96*F96</f>
        <v>631</v>
      </c>
      <c r="H96" s="80"/>
    </row>
    <row r="97" spans="1:10" ht="131" customHeight="1" x14ac:dyDescent="0.2">
      <c r="A97" s="25"/>
      <c r="B97" s="48"/>
      <c r="C97" s="51" t="s">
        <v>457</v>
      </c>
      <c r="D97" s="76"/>
      <c r="E97" s="76"/>
      <c r="F97" s="76"/>
      <c r="G97" s="76"/>
      <c r="H97" s="80"/>
    </row>
    <row r="98" spans="1:10" x14ac:dyDescent="0.2">
      <c r="A98" s="25"/>
      <c r="B98" s="107" t="s">
        <v>132</v>
      </c>
      <c r="C98" s="127"/>
      <c r="D98" s="107"/>
      <c r="E98" s="107"/>
      <c r="F98" s="107"/>
      <c r="G98" s="94">
        <f>SUM(G49:G97)</f>
        <v>48999.78</v>
      </c>
      <c r="H98" s="27"/>
      <c r="J98" s="4"/>
    </row>
    <row r="99" spans="1:10" x14ac:dyDescent="0.2">
      <c r="A99" s="25"/>
      <c r="B99" s="74"/>
      <c r="C99" s="82"/>
      <c r="D99" s="75"/>
      <c r="E99" s="75"/>
      <c r="F99" s="75"/>
      <c r="G99" s="77"/>
      <c r="H99" s="27"/>
      <c r="J99" s="4"/>
    </row>
    <row r="100" spans="1:10" ht="19" x14ac:dyDescent="0.2">
      <c r="A100" s="25"/>
      <c r="B100" s="124" t="s">
        <v>316</v>
      </c>
      <c r="C100" s="126"/>
      <c r="D100" s="124"/>
      <c r="E100" s="124"/>
      <c r="F100" s="124"/>
      <c r="G100" s="124"/>
      <c r="H100" s="27"/>
      <c r="J100" s="4"/>
    </row>
    <row r="101" spans="1:10" x14ac:dyDescent="0.2">
      <c r="A101" s="25"/>
      <c r="B101" s="123" t="s">
        <v>458</v>
      </c>
      <c r="C101" s="123"/>
      <c r="D101" s="123"/>
      <c r="E101" s="123"/>
      <c r="F101" s="123"/>
      <c r="G101" s="123"/>
      <c r="H101" s="27"/>
      <c r="J101" s="4"/>
    </row>
    <row r="102" spans="1:10" x14ac:dyDescent="0.2">
      <c r="A102" s="25"/>
      <c r="B102" s="8" t="s">
        <v>7</v>
      </c>
      <c r="C102" s="8" t="s">
        <v>8</v>
      </c>
      <c r="D102" s="16" t="s">
        <v>9</v>
      </c>
      <c r="E102" s="8" t="s">
        <v>10</v>
      </c>
      <c r="F102" s="10" t="s">
        <v>11</v>
      </c>
      <c r="G102" s="10" t="s">
        <v>12</v>
      </c>
      <c r="H102" s="27"/>
      <c r="J102" s="4"/>
    </row>
    <row r="103" spans="1:10" x14ac:dyDescent="0.2">
      <c r="A103" s="25"/>
      <c r="B103" s="7">
        <v>1</v>
      </c>
      <c r="C103" s="11" t="s">
        <v>459</v>
      </c>
      <c r="D103" s="76"/>
      <c r="E103" s="76"/>
      <c r="F103" s="76"/>
      <c r="G103" s="76"/>
      <c r="H103" s="27"/>
      <c r="J103" s="4"/>
    </row>
    <row r="104" spans="1:10" ht="17" x14ac:dyDescent="0.2">
      <c r="A104" s="25"/>
      <c r="B104" s="7">
        <v>1.1000000000000001</v>
      </c>
      <c r="C104" s="44" t="s">
        <v>402</v>
      </c>
      <c r="D104" s="18">
        <f>(11.5*2+6.7*2+22)*2.8</f>
        <v>163.51999999999998</v>
      </c>
      <c r="E104" s="7" t="s">
        <v>19</v>
      </c>
      <c r="F104" s="18">
        <v>8</v>
      </c>
      <c r="G104" s="94">
        <f t="shared" ref="G104" si="20">D104*F104</f>
        <v>1308.1599999999999</v>
      </c>
      <c r="H104" s="27"/>
      <c r="J104" s="4"/>
    </row>
    <row r="105" spans="1:10" ht="409.6" x14ac:dyDescent="0.2">
      <c r="A105" s="25"/>
      <c r="B105" s="7"/>
      <c r="C105" s="44" t="s">
        <v>378</v>
      </c>
      <c r="D105" s="76"/>
      <c r="E105" s="76"/>
      <c r="F105" s="76"/>
      <c r="G105" s="76"/>
      <c r="H105" s="27"/>
      <c r="J105" s="4"/>
    </row>
    <row r="106" spans="1:10" ht="17" x14ac:dyDescent="0.2">
      <c r="A106" s="25"/>
      <c r="B106" s="7">
        <v>2</v>
      </c>
      <c r="C106" s="79" t="s">
        <v>460</v>
      </c>
      <c r="D106" s="76"/>
      <c r="E106" s="76"/>
      <c r="F106" s="76"/>
      <c r="G106" s="76"/>
      <c r="H106" s="27"/>
      <c r="J106" s="4"/>
    </row>
    <row r="107" spans="1:10" ht="17" x14ac:dyDescent="0.2">
      <c r="A107" s="25"/>
      <c r="B107" s="7">
        <v>2.1</v>
      </c>
      <c r="C107" s="79" t="s">
        <v>461</v>
      </c>
      <c r="D107" s="18">
        <v>45</v>
      </c>
      <c r="E107" s="7" t="s">
        <v>19</v>
      </c>
      <c r="F107" s="18">
        <v>30</v>
      </c>
      <c r="G107" s="94">
        <f>D107*F107</f>
        <v>1350</v>
      </c>
      <c r="H107" s="27"/>
      <c r="J107" s="4"/>
    </row>
    <row r="108" spans="1:10" ht="409.6" x14ac:dyDescent="0.2">
      <c r="A108" s="25"/>
      <c r="B108" s="7"/>
      <c r="C108" s="51" t="s">
        <v>462</v>
      </c>
      <c r="D108" s="76"/>
      <c r="E108" s="76"/>
      <c r="F108" s="76"/>
      <c r="G108" s="76"/>
      <c r="H108" s="27"/>
      <c r="J108" s="4"/>
    </row>
    <row r="109" spans="1:10" ht="17" x14ac:dyDescent="0.2">
      <c r="A109" s="25"/>
      <c r="B109" s="7">
        <v>2.2000000000000002</v>
      </c>
      <c r="C109" s="79" t="s">
        <v>463</v>
      </c>
      <c r="D109" s="18">
        <v>35</v>
      </c>
      <c r="E109" s="7" t="s">
        <v>27</v>
      </c>
      <c r="F109" s="18">
        <v>10</v>
      </c>
      <c r="G109" s="94">
        <f>D109*F109</f>
        <v>350</v>
      </c>
      <c r="H109" s="27"/>
      <c r="J109" s="4"/>
    </row>
    <row r="110" spans="1:10" ht="153" x14ac:dyDescent="0.2">
      <c r="A110" s="25"/>
      <c r="B110" s="7"/>
      <c r="C110" s="51" t="s">
        <v>464</v>
      </c>
      <c r="D110" s="76"/>
      <c r="E110" s="76"/>
      <c r="F110" s="76"/>
      <c r="G110" s="76"/>
      <c r="H110" s="27"/>
      <c r="J110" s="4"/>
    </row>
    <row r="111" spans="1:10" ht="17" x14ac:dyDescent="0.2">
      <c r="A111" s="25"/>
      <c r="B111" s="7">
        <v>2.2999999999999998</v>
      </c>
      <c r="C111" s="79" t="s">
        <v>465</v>
      </c>
      <c r="D111" s="76"/>
      <c r="E111" s="76"/>
      <c r="F111" s="76"/>
      <c r="G111" s="76"/>
      <c r="H111" s="27"/>
      <c r="J111" s="4"/>
    </row>
    <row r="112" spans="1:10" ht="340" customHeight="1" x14ac:dyDescent="0.2">
      <c r="A112" s="25"/>
      <c r="B112" s="7"/>
      <c r="C112" s="51" t="s">
        <v>466</v>
      </c>
      <c r="D112" s="76"/>
      <c r="E112" s="76"/>
      <c r="F112" s="76"/>
      <c r="G112" s="76"/>
      <c r="H112" s="27"/>
      <c r="J112" s="4"/>
    </row>
    <row r="113" spans="1:10" ht="17" x14ac:dyDescent="0.2">
      <c r="A113" s="25"/>
      <c r="B113" s="7" t="s">
        <v>467</v>
      </c>
      <c r="C113" s="79" t="s">
        <v>468</v>
      </c>
      <c r="D113" s="18">
        <v>26</v>
      </c>
      <c r="E113" s="7" t="s">
        <v>19</v>
      </c>
      <c r="F113" s="18">
        <v>30</v>
      </c>
      <c r="G113" s="94">
        <f>D113*F113</f>
        <v>780</v>
      </c>
      <c r="H113" s="27"/>
      <c r="J113" s="4"/>
    </row>
    <row r="114" spans="1:10" ht="34" x14ac:dyDescent="0.2">
      <c r="A114" s="25"/>
      <c r="B114" s="7" t="s">
        <v>469</v>
      </c>
      <c r="C114" s="79" t="s">
        <v>470</v>
      </c>
      <c r="D114" s="18">
        <f>(3.2+2.8+2.6*2+2.2*2+1.9+0.8+3.5+2.1+2.6+2.2+5+2)*1.5</f>
        <v>53.550000000000004</v>
      </c>
      <c r="E114" s="7" t="s">
        <v>19</v>
      </c>
      <c r="F114" s="18">
        <v>30</v>
      </c>
      <c r="G114" s="94">
        <f>D114*F114</f>
        <v>1606.5000000000002</v>
      </c>
      <c r="H114" s="27"/>
      <c r="J114" s="4"/>
    </row>
    <row r="115" spans="1:10" ht="17" x14ac:dyDescent="0.2">
      <c r="A115" s="25"/>
      <c r="B115" s="7">
        <v>3</v>
      </c>
      <c r="C115" s="79" t="s">
        <v>427</v>
      </c>
      <c r="D115" s="76"/>
      <c r="E115" s="76"/>
      <c r="F115" s="76"/>
      <c r="G115" s="76"/>
      <c r="H115" s="27"/>
      <c r="J115" s="4"/>
    </row>
    <row r="116" spans="1:10" ht="17" x14ac:dyDescent="0.2">
      <c r="A116" s="25"/>
      <c r="B116" s="7">
        <v>3.1</v>
      </c>
      <c r="C116" s="51" t="s">
        <v>428</v>
      </c>
      <c r="D116" s="18">
        <v>5</v>
      </c>
      <c r="E116" s="7" t="s">
        <v>10</v>
      </c>
      <c r="F116" s="18">
        <v>200</v>
      </c>
      <c r="G116" s="94">
        <f>D116*F116</f>
        <v>1000</v>
      </c>
      <c r="H116" s="27"/>
      <c r="J116" s="4"/>
    </row>
    <row r="117" spans="1:10" ht="84.5" customHeight="1" x14ac:dyDescent="0.2">
      <c r="A117" s="25"/>
      <c r="B117" s="7">
        <v>3.2</v>
      </c>
      <c r="C117" s="51" t="s">
        <v>471</v>
      </c>
      <c r="D117" s="18">
        <v>1</v>
      </c>
      <c r="E117" s="7" t="s">
        <v>10</v>
      </c>
      <c r="F117" s="18">
        <v>300</v>
      </c>
      <c r="G117" s="94">
        <f t="shared" ref="G117:G143" si="21">D117*F117</f>
        <v>300</v>
      </c>
      <c r="H117" s="27"/>
      <c r="J117" s="4"/>
    </row>
    <row r="118" spans="1:10" ht="39" customHeight="1" x14ac:dyDescent="0.2">
      <c r="A118" s="25"/>
      <c r="B118" s="7">
        <v>3.3</v>
      </c>
      <c r="C118" s="51" t="s">
        <v>430</v>
      </c>
      <c r="D118" s="18">
        <v>4</v>
      </c>
      <c r="E118" s="7" t="s">
        <v>10</v>
      </c>
      <c r="F118" s="18">
        <v>200</v>
      </c>
      <c r="G118" s="94">
        <f t="shared" si="21"/>
        <v>800</v>
      </c>
      <c r="H118" s="27"/>
      <c r="J118" s="4"/>
    </row>
    <row r="119" spans="1:10" ht="102" x14ac:dyDescent="0.2">
      <c r="A119" s="25"/>
      <c r="B119" s="7">
        <v>3.4</v>
      </c>
      <c r="C119" s="81" t="s">
        <v>472</v>
      </c>
      <c r="D119" s="18">
        <v>1</v>
      </c>
      <c r="E119" s="7" t="s">
        <v>10</v>
      </c>
      <c r="F119" s="18">
        <v>300</v>
      </c>
      <c r="G119" s="94">
        <f t="shared" si="21"/>
        <v>300</v>
      </c>
      <c r="H119" s="27"/>
      <c r="J119" s="4"/>
    </row>
    <row r="120" spans="1:10" ht="34" x14ac:dyDescent="0.2">
      <c r="A120" s="25"/>
      <c r="B120" s="7">
        <v>3.5</v>
      </c>
      <c r="C120" s="51" t="s">
        <v>432</v>
      </c>
      <c r="D120" s="18">
        <v>5</v>
      </c>
      <c r="E120" s="7" t="s">
        <v>10</v>
      </c>
      <c r="F120" s="18">
        <v>50</v>
      </c>
      <c r="G120" s="94">
        <f t="shared" si="21"/>
        <v>250</v>
      </c>
      <c r="H120" s="27"/>
      <c r="J120" s="4"/>
    </row>
    <row r="121" spans="1:10" ht="17" x14ac:dyDescent="0.2">
      <c r="A121" s="25"/>
      <c r="B121" s="7">
        <v>4</v>
      </c>
      <c r="C121" s="85" t="s">
        <v>473</v>
      </c>
      <c r="D121" s="18">
        <v>5</v>
      </c>
      <c r="E121" s="7" t="s">
        <v>10</v>
      </c>
      <c r="F121" s="18">
        <v>350</v>
      </c>
      <c r="G121" s="94">
        <f t="shared" si="21"/>
        <v>1750</v>
      </c>
      <c r="H121" s="27"/>
      <c r="J121" s="4"/>
    </row>
    <row r="122" spans="1:10" ht="199.5" customHeight="1" x14ac:dyDescent="0.2">
      <c r="A122" s="25"/>
      <c r="B122" s="7"/>
      <c r="C122" s="51" t="s">
        <v>474</v>
      </c>
      <c r="D122" s="76"/>
      <c r="E122" s="76"/>
      <c r="F122" s="76"/>
      <c r="G122" s="76"/>
      <c r="H122" s="27"/>
      <c r="J122" s="4"/>
    </row>
    <row r="123" spans="1:10" ht="18.5" customHeight="1" x14ac:dyDescent="0.2">
      <c r="A123" s="25"/>
      <c r="B123" s="7">
        <v>5</v>
      </c>
      <c r="C123" s="85" t="s">
        <v>475</v>
      </c>
      <c r="D123" s="76"/>
      <c r="E123" s="76"/>
      <c r="F123" s="76"/>
      <c r="G123" s="76"/>
      <c r="H123" s="27"/>
      <c r="J123" s="4"/>
    </row>
    <row r="124" spans="1:10" ht="27" customHeight="1" x14ac:dyDescent="0.2">
      <c r="A124" s="25"/>
      <c r="B124" s="7">
        <v>5.0999999999999996</v>
      </c>
      <c r="C124" s="85" t="s">
        <v>476</v>
      </c>
      <c r="D124" s="76"/>
      <c r="E124" s="76"/>
      <c r="F124" s="76"/>
      <c r="G124" s="76"/>
      <c r="H124" s="27"/>
      <c r="J124" s="4"/>
    </row>
    <row r="125" spans="1:10" ht="409" customHeight="1" x14ac:dyDescent="0.2">
      <c r="A125" s="25"/>
      <c r="B125" s="7" t="s">
        <v>477</v>
      </c>
      <c r="C125" s="95" t="s">
        <v>478</v>
      </c>
      <c r="D125" s="76"/>
      <c r="E125" s="76"/>
      <c r="F125" s="76"/>
      <c r="G125" s="76"/>
      <c r="H125" s="27"/>
      <c r="J125" s="4"/>
    </row>
    <row r="126" spans="1:10" ht="34" x14ac:dyDescent="0.2">
      <c r="A126" s="25"/>
      <c r="B126" s="7" t="s">
        <v>479</v>
      </c>
      <c r="C126" s="84" t="s">
        <v>480</v>
      </c>
      <c r="D126" s="18">
        <v>215</v>
      </c>
      <c r="E126" s="7" t="s">
        <v>19</v>
      </c>
      <c r="F126" s="18">
        <v>55</v>
      </c>
      <c r="G126" s="94">
        <f t="shared" ref="G126" si="22">D126*F126</f>
        <v>11825</v>
      </c>
      <c r="H126" s="27"/>
      <c r="J126" s="4"/>
    </row>
    <row r="127" spans="1:10" ht="409.5" customHeight="1" x14ac:dyDescent="0.2">
      <c r="A127" s="25"/>
      <c r="B127" s="7" t="s">
        <v>481</v>
      </c>
      <c r="C127" s="84" t="s">
        <v>482</v>
      </c>
      <c r="D127" s="76"/>
      <c r="E127" s="76"/>
      <c r="F127" s="76"/>
      <c r="G127" s="76"/>
      <c r="H127" s="27"/>
      <c r="J127" s="4"/>
    </row>
    <row r="128" spans="1:10" ht="34" x14ac:dyDescent="0.2">
      <c r="A128" s="25"/>
      <c r="B128" s="7" t="s">
        <v>479</v>
      </c>
      <c r="C128" s="84" t="s">
        <v>480</v>
      </c>
      <c r="D128" s="18">
        <f>92+27.5</f>
        <v>119.5</v>
      </c>
      <c r="E128" s="7" t="s">
        <v>19</v>
      </c>
      <c r="F128" s="18">
        <v>55</v>
      </c>
      <c r="G128" s="94">
        <f t="shared" ref="G128" si="23">D128*F128</f>
        <v>6572.5</v>
      </c>
      <c r="H128" s="27"/>
      <c r="J128" s="4"/>
    </row>
    <row r="129" spans="1:10" ht="85" x14ac:dyDescent="0.2">
      <c r="A129" s="25"/>
      <c r="B129" s="7">
        <v>5.2</v>
      </c>
      <c r="C129" s="85" t="s">
        <v>483</v>
      </c>
      <c r="D129" s="76"/>
      <c r="E129" s="76"/>
      <c r="F129" s="76"/>
      <c r="G129" s="76"/>
      <c r="H129" s="27"/>
      <c r="J129" s="4"/>
    </row>
    <row r="130" spans="1:10" ht="394" customHeight="1" x14ac:dyDescent="0.2">
      <c r="A130" s="25"/>
      <c r="B130" s="7"/>
      <c r="C130" s="84" t="s">
        <v>484</v>
      </c>
      <c r="D130" s="76"/>
      <c r="E130" s="76"/>
      <c r="F130" s="76"/>
      <c r="G130" s="76"/>
      <c r="H130" s="27"/>
      <c r="J130" s="4"/>
    </row>
    <row r="131" spans="1:10" ht="34" x14ac:dyDescent="0.2">
      <c r="A131" s="25"/>
      <c r="B131" s="7" t="s">
        <v>438</v>
      </c>
      <c r="C131" s="84" t="s">
        <v>480</v>
      </c>
      <c r="D131" s="18">
        <v>115</v>
      </c>
      <c r="E131" s="7" t="s">
        <v>19</v>
      </c>
      <c r="F131" s="18">
        <v>35</v>
      </c>
      <c r="G131" s="94">
        <f t="shared" ref="G131" si="24">D131*F131</f>
        <v>4025</v>
      </c>
      <c r="H131" s="27"/>
      <c r="J131" s="4"/>
    </row>
    <row r="132" spans="1:10" ht="27.5" customHeight="1" x14ac:dyDescent="0.2">
      <c r="A132" s="25"/>
      <c r="B132" s="7">
        <v>5.3</v>
      </c>
      <c r="C132" s="85" t="s">
        <v>485</v>
      </c>
      <c r="D132" s="18">
        <f>5.17+5.15+5.85+9.5+9.55+5.85+5.15+4.75+4.75+5.85+9.5</f>
        <v>71.069999999999993</v>
      </c>
      <c r="E132" s="7" t="s">
        <v>27</v>
      </c>
      <c r="F132" s="18">
        <v>60</v>
      </c>
      <c r="G132" s="94">
        <f t="shared" ref="G132" si="25">D132*F132</f>
        <v>4264.2</v>
      </c>
      <c r="H132" s="27"/>
      <c r="J132" s="4"/>
    </row>
    <row r="133" spans="1:10" ht="289" x14ac:dyDescent="0.2">
      <c r="A133" s="25"/>
      <c r="B133" s="7"/>
      <c r="C133" s="84" t="s">
        <v>486</v>
      </c>
      <c r="D133" s="76"/>
      <c r="E133" s="76"/>
      <c r="F133" s="76"/>
      <c r="G133" s="76"/>
      <c r="H133" s="27"/>
      <c r="J133" s="4"/>
    </row>
    <row r="134" spans="1:10" ht="34" x14ac:dyDescent="0.2">
      <c r="A134" s="25"/>
      <c r="B134" s="48">
        <v>5.4</v>
      </c>
      <c r="C134" s="45" t="s">
        <v>487</v>
      </c>
      <c r="D134" s="18">
        <f>15.7+7.5+5.5</f>
        <v>28.7</v>
      </c>
      <c r="E134" s="7" t="s">
        <v>19</v>
      </c>
      <c r="F134" s="18">
        <v>50</v>
      </c>
      <c r="G134" s="94">
        <f>D134*F134</f>
        <v>1435</v>
      </c>
      <c r="H134" s="27"/>
      <c r="J134" s="4"/>
    </row>
    <row r="135" spans="1:10" ht="409.6" x14ac:dyDescent="0.2">
      <c r="A135" s="7"/>
      <c r="B135" s="7"/>
      <c r="C135" s="84" t="s">
        <v>488</v>
      </c>
      <c r="D135" s="76"/>
      <c r="E135" s="76"/>
      <c r="F135" s="76"/>
      <c r="G135" s="76"/>
      <c r="H135" s="27"/>
      <c r="J135" s="4"/>
    </row>
    <row r="136" spans="1:10" ht="29" customHeight="1" x14ac:dyDescent="0.2">
      <c r="A136" s="7"/>
      <c r="B136" s="7">
        <v>5.5</v>
      </c>
      <c r="C136" s="45" t="s">
        <v>489</v>
      </c>
      <c r="D136" s="76"/>
      <c r="E136" s="76"/>
      <c r="F136" s="76"/>
      <c r="G136" s="76"/>
      <c r="H136" s="27"/>
      <c r="J136" s="4"/>
    </row>
    <row r="137" spans="1:10" ht="68" x14ac:dyDescent="0.2">
      <c r="A137" s="7"/>
      <c r="B137" s="7"/>
      <c r="C137" s="84" t="s">
        <v>490</v>
      </c>
      <c r="D137" s="76"/>
      <c r="E137" s="76"/>
      <c r="F137" s="76"/>
      <c r="G137" s="76"/>
      <c r="H137" s="27"/>
      <c r="J137" s="4"/>
    </row>
    <row r="138" spans="1:10" ht="22.5" customHeight="1" x14ac:dyDescent="0.2">
      <c r="A138" s="7"/>
      <c r="B138" s="7" t="s">
        <v>491</v>
      </c>
      <c r="C138" s="84" t="s">
        <v>492</v>
      </c>
      <c r="D138" s="18">
        <f>10.1+12.1+17</f>
        <v>39.200000000000003</v>
      </c>
      <c r="E138" s="7" t="s">
        <v>19</v>
      </c>
      <c r="F138" s="18">
        <v>50</v>
      </c>
      <c r="G138" s="94">
        <f t="shared" ref="G138:G140" si="26">D138*F138</f>
        <v>1960.0000000000002</v>
      </c>
      <c r="H138" s="27"/>
      <c r="J138" s="4"/>
    </row>
    <row r="139" spans="1:10" ht="28" customHeight="1" x14ac:dyDescent="0.2">
      <c r="A139" s="7"/>
      <c r="B139" s="7" t="s">
        <v>493</v>
      </c>
      <c r="C139" s="84" t="s">
        <v>494</v>
      </c>
      <c r="D139" s="18">
        <v>13.8</v>
      </c>
      <c r="E139" s="7" t="s">
        <v>27</v>
      </c>
      <c r="F139" s="18">
        <v>30</v>
      </c>
      <c r="G139" s="94">
        <f t="shared" si="26"/>
        <v>414</v>
      </c>
      <c r="H139" s="27"/>
      <c r="J139" s="4"/>
    </row>
    <row r="140" spans="1:10" ht="28" customHeight="1" x14ac:dyDescent="0.2">
      <c r="A140" s="7"/>
      <c r="B140" s="7" t="s">
        <v>495</v>
      </c>
      <c r="C140" s="84" t="s">
        <v>496</v>
      </c>
      <c r="D140" s="18">
        <v>24.5</v>
      </c>
      <c r="E140" s="7" t="s">
        <v>27</v>
      </c>
      <c r="F140" s="18">
        <v>25</v>
      </c>
      <c r="G140" s="94">
        <f t="shared" si="26"/>
        <v>612.5</v>
      </c>
      <c r="H140" s="27"/>
      <c r="J140" s="4"/>
    </row>
    <row r="141" spans="1:10" ht="33.5" customHeight="1" x14ac:dyDescent="0.2">
      <c r="A141" s="25"/>
      <c r="B141" s="45">
        <v>6</v>
      </c>
      <c r="C141" s="45" t="s">
        <v>497</v>
      </c>
      <c r="D141" s="18">
        <v>1</v>
      </c>
      <c r="E141" s="7" t="s">
        <v>15</v>
      </c>
      <c r="F141" s="18">
        <v>8000</v>
      </c>
      <c r="G141" s="94">
        <f t="shared" ref="G141" si="27">D141*F141</f>
        <v>8000</v>
      </c>
      <c r="H141" s="27"/>
      <c r="J141" s="4"/>
    </row>
    <row r="142" spans="1:10" ht="323" x14ac:dyDescent="0.2">
      <c r="A142" s="25"/>
      <c r="B142" s="7"/>
      <c r="C142" s="51" t="s">
        <v>498</v>
      </c>
      <c r="D142" s="76"/>
      <c r="E142" s="76"/>
      <c r="F142" s="76"/>
      <c r="G142" s="76"/>
      <c r="H142" s="27"/>
      <c r="J142" s="4"/>
    </row>
    <row r="143" spans="1:10" ht="17" x14ac:dyDescent="0.2">
      <c r="A143" s="25"/>
      <c r="B143" s="48">
        <v>7</v>
      </c>
      <c r="C143" s="45" t="s">
        <v>499</v>
      </c>
      <c r="D143" s="18">
        <v>73</v>
      </c>
      <c r="E143" s="7" t="s">
        <v>224</v>
      </c>
      <c r="F143" s="18">
        <v>25</v>
      </c>
      <c r="G143" s="94">
        <f t="shared" si="21"/>
        <v>1825</v>
      </c>
      <c r="H143" s="27"/>
      <c r="J143" s="4"/>
    </row>
    <row r="144" spans="1:10" ht="130.5" customHeight="1" x14ac:dyDescent="0.2">
      <c r="A144" s="25"/>
      <c r="B144" s="48"/>
      <c r="C144" s="70" t="s">
        <v>500</v>
      </c>
      <c r="D144" s="76"/>
      <c r="E144" s="76"/>
      <c r="F144" s="76"/>
      <c r="G144" s="76"/>
      <c r="H144" s="27"/>
      <c r="J144" s="4"/>
    </row>
    <row r="145" spans="1:10" ht="17" x14ac:dyDescent="0.2">
      <c r="A145" s="25"/>
      <c r="B145" s="48">
        <v>8</v>
      </c>
      <c r="C145" s="45" t="s">
        <v>501</v>
      </c>
      <c r="D145" s="18">
        <v>8</v>
      </c>
      <c r="E145" s="7" t="s">
        <v>224</v>
      </c>
      <c r="F145" s="13">
        <v>20</v>
      </c>
      <c r="G145" s="94">
        <f t="shared" ref="G145" si="28">D145*F145</f>
        <v>160</v>
      </c>
      <c r="H145" s="27"/>
      <c r="J145" s="4"/>
    </row>
    <row r="146" spans="1:10" ht="170" x14ac:dyDescent="0.2">
      <c r="A146" s="25"/>
      <c r="B146" s="48"/>
      <c r="C146" s="70" t="s">
        <v>502</v>
      </c>
      <c r="D146" s="76"/>
      <c r="E146" s="76"/>
      <c r="F146" s="76"/>
      <c r="G146" s="76"/>
      <c r="H146" s="27"/>
      <c r="J146" s="4"/>
    </row>
    <row r="147" spans="1:10" ht="17" x14ac:dyDescent="0.2">
      <c r="A147" s="25"/>
      <c r="B147" s="48">
        <v>9</v>
      </c>
      <c r="C147" s="45" t="s">
        <v>503</v>
      </c>
      <c r="D147" s="18">
        <v>1</v>
      </c>
      <c r="E147" s="7" t="s">
        <v>224</v>
      </c>
      <c r="F147" s="18">
        <v>350</v>
      </c>
      <c r="G147" s="94">
        <f t="shared" ref="G147" si="29">D147*F147</f>
        <v>350</v>
      </c>
      <c r="H147" s="27"/>
      <c r="J147" s="4"/>
    </row>
    <row r="148" spans="1:10" ht="170" x14ac:dyDescent="0.2">
      <c r="A148" s="25"/>
      <c r="B148" s="48"/>
      <c r="C148" s="70" t="s">
        <v>504</v>
      </c>
      <c r="D148" s="76"/>
      <c r="E148" s="76"/>
      <c r="F148" s="76"/>
      <c r="G148" s="76"/>
      <c r="H148" s="27"/>
      <c r="J148" s="4"/>
    </row>
    <row r="149" spans="1:10" ht="16" customHeight="1" x14ac:dyDescent="0.2">
      <c r="A149" s="25"/>
      <c r="B149" s="48">
        <v>10</v>
      </c>
      <c r="C149" s="45" t="s">
        <v>505</v>
      </c>
      <c r="D149" s="18">
        <v>4</v>
      </c>
      <c r="E149" s="7" t="s">
        <v>224</v>
      </c>
      <c r="F149" s="18">
        <v>100</v>
      </c>
      <c r="G149" s="94">
        <f t="shared" ref="G149" si="30">D149*F149</f>
        <v>400</v>
      </c>
      <c r="H149" s="27"/>
      <c r="J149" s="4"/>
    </row>
    <row r="150" spans="1:10" ht="181" customHeight="1" x14ac:dyDescent="0.2">
      <c r="A150" s="25"/>
      <c r="B150" s="48"/>
      <c r="C150" s="70" t="s">
        <v>506</v>
      </c>
      <c r="D150" s="76"/>
      <c r="E150" s="76"/>
      <c r="F150" s="76"/>
      <c r="G150" s="76"/>
      <c r="H150" s="27"/>
      <c r="J150" s="4"/>
    </row>
    <row r="151" spans="1:10" ht="17" x14ac:dyDescent="0.2">
      <c r="A151" s="25"/>
      <c r="B151" s="48">
        <v>11</v>
      </c>
      <c r="C151" s="45" t="s">
        <v>507</v>
      </c>
      <c r="D151" s="18">
        <f>10*2+4+11.2*2+11.2*2+1</f>
        <v>69.8</v>
      </c>
      <c r="E151" s="7" t="s">
        <v>27</v>
      </c>
      <c r="F151" s="18">
        <v>5</v>
      </c>
      <c r="G151" s="94">
        <f>D151*F151</f>
        <v>349</v>
      </c>
      <c r="H151" s="27"/>
      <c r="J151" s="4"/>
    </row>
    <row r="152" spans="1:10" ht="137" customHeight="1" x14ac:dyDescent="0.2">
      <c r="A152" s="25"/>
      <c r="B152" s="48"/>
      <c r="C152" s="51" t="s">
        <v>508</v>
      </c>
      <c r="D152" s="76"/>
      <c r="E152" s="76"/>
      <c r="F152" s="76"/>
      <c r="G152" s="76"/>
      <c r="H152" s="27"/>
      <c r="J152" s="4"/>
    </row>
    <row r="153" spans="1:10" ht="34" x14ac:dyDescent="0.2">
      <c r="A153" s="25"/>
      <c r="B153" s="48">
        <v>12</v>
      </c>
      <c r="C153" s="45" t="s">
        <v>509</v>
      </c>
      <c r="D153" s="18">
        <f>4.75+5.9+9.5+5.2+5.2+4+9.5</f>
        <v>44.05</v>
      </c>
      <c r="E153" s="7" t="s">
        <v>27</v>
      </c>
      <c r="F153" s="18">
        <v>160</v>
      </c>
      <c r="G153" s="94">
        <f>D153*F153</f>
        <v>7048</v>
      </c>
      <c r="H153" s="27"/>
      <c r="J153" s="4"/>
    </row>
    <row r="154" spans="1:10" ht="409.6" x14ac:dyDescent="0.2">
      <c r="A154" s="25"/>
      <c r="B154" s="74"/>
      <c r="C154" s="51" t="s">
        <v>510</v>
      </c>
      <c r="D154" s="76"/>
      <c r="E154" s="76"/>
      <c r="F154" s="76"/>
      <c r="G154" s="76"/>
      <c r="H154" s="27"/>
      <c r="J154" s="4"/>
    </row>
    <row r="155" spans="1:10" x14ac:dyDescent="0.2">
      <c r="A155" s="25"/>
      <c r="B155" s="107" t="s">
        <v>145</v>
      </c>
      <c r="C155" s="127"/>
      <c r="D155" s="107"/>
      <c r="E155" s="107"/>
      <c r="F155" s="107"/>
      <c r="G155" s="94">
        <f>SUM(G104:G154)</f>
        <v>59034.86</v>
      </c>
      <c r="H155" s="27"/>
      <c r="J155" s="4"/>
    </row>
    <row r="156" spans="1:10" x14ac:dyDescent="0.2">
      <c r="A156" s="25"/>
      <c r="B156" s="110"/>
      <c r="C156" s="111"/>
      <c r="D156" s="111"/>
      <c r="E156" s="111"/>
      <c r="F156" s="111"/>
      <c r="G156" s="112"/>
      <c r="H156" s="27"/>
      <c r="J156" s="4"/>
    </row>
    <row r="157" spans="1:10" ht="19" x14ac:dyDescent="0.2">
      <c r="A157" s="25"/>
      <c r="B157" s="124" t="s">
        <v>358</v>
      </c>
      <c r="C157" s="126"/>
      <c r="D157" s="124"/>
      <c r="E157" s="124"/>
      <c r="F157" s="124"/>
      <c r="G157" s="124"/>
      <c r="H157" s="27"/>
    </row>
    <row r="158" spans="1:10" x14ac:dyDescent="0.2">
      <c r="A158" s="25"/>
      <c r="B158" s="123" t="s">
        <v>511</v>
      </c>
      <c r="C158" s="123"/>
      <c r="D158" s="123"/>
      <c r="E158" s="123"/>
      <c r="F158" s="123"/>
      <c r="G158" s="123"/>
      <c r="H158" s="27"/>
    </row>
    <row r="159" spans="1:10" x14ac:dyDescent="0.2">
      <c r="A159" s="25"/>
      <c r="B159" s="8" t="s">
        <v>7</v>
      </c>
      <c r="C159" s="8" t="s">
        <v>8</v>
      </c>
      <c r="D159" s="16" t="s">
        <v>9</v>
      </c>
      <c r="E159" s="8" t="s">
        <v>10</v>
      </c>
      <c r="F159" s="10" t="s">
        <v>11</v>
      </c>
      <c r="G159" s="10" t="s">
        <v>12</v>
      </c>
      <c r="H159" s="27"/>
    </row>
    <row r="160" spans="1:10" x14ac:dyDescent="0.2">
      <c r="A160" s="25"/>
      <c r="B160" s="7">
        <v>1</v>
      </c>
      <c r="C160" s="11" t="s">
        <v>459</v>
      </c>
      <c r="D160" s="76"/>
      <c r="E160" s="76"/>
      <c r="F160" s="76"/>
      <c r="G160" s="76"/>
      <c r="H160" s="27"/>
    </row>
    <row r="161" spans="1:8" ht="17" x14ac:dyDescent="0.2">
      <c r="A161" s="25"/>
      <c r="B161" s="7">
        <v>1.1000000000000001</v>
      </c>
      <c r="C161" s="44" t="s">
        <v>402</v>
      </c>
      <c r="D161" s="18">
        <f>((3.2*2+3.5*2+2*2+1*2+4*2+11+5.2*2+3*2+5.4+2+1.3+16)+(48))*2.6</f>
        <v>331.5</v>
      </c>
      <c r="E161" s="7" t="s">
        <v>19</v>
      </c>
      <c r="F161" s="18">
        <v>8</v>
      </c>
      <c r="G161" s="94">
        <f t="shared" ref="G161" si="31">D161*F161</f>
        <v>2652</v>
      </c>
      <c r="H161" s="27"/>
    </row>
    <row r="162" spans="1:8" ht="409" customHeight="1" x14ac:dyDescent="0.2">
      <c r="A162" s="25"/>
      <c r="B162" s="7"/>
      <c r="C162" s="44" t="s">
        <v>378</v>
      </c>
      <c r="D162" s="76"/>
      <c r="E162" s="76"/>
      <c r="F162" s="76"/>
      <c r="G162" s="76"/>
      <c r="H162" s="27"/>
    </row>
    <row r="163" spans="1:8" ht="17" x14ac:dyDescent="0.2">
      <c r="A163" s="25"/>
      <c r="B163" s="7">
        <v>2</v>
      </c>
      <c r="C163" s="79" t="s">
        <v>512</v>
      </c>
      <c r="D163" s="18">
        <v>50</v>
      </c>
      <c r="E163" s="7" t="s">
        <v>19</v>
      </c>
      <c r="F163" s="18">
        <v>30</v>
      </c>
      <c r="G163" s="94">
        <f>D163*F163</f>
        <v>1500</v>
      </c>
      <c r="H163" s="27"/>
    </row>
    <row r="164" spans="1:8" ht="409" customHeight="1" x14ac:dyDescent="0.2">
      <c r="A164" s="25"/>
      <c r="B164" s="7"/>
      <c r="C164" s="51" t="s">
        <v>513</v>
      </c>
      <c r="D164" s="76"/>
      <c r="E164" s="76"/>
      <c r="F164" s="76"/>
      <c r="G164" s="76"/>
      <c r="H164" s="27"/>
    </row>
    <row r="165" spans="1:8" ht="17" x14ac:dyDescent="0.2">
      <c r="A165" s="25"/>
      <c r="B165" s="7">
        <v>2.1</v>
      </c>
      <c r="C165" s="79" t="s">
        <v>514</v>
      </c>
      <c r="D165" s="18">
        <v>33</v>
      </c>
      <c r="E165" s="7" t="s">
        <v>27</v>
      </c>
      <c r="F165" s="18">
        <v>10</v>
      </c>
      <c r="G165" s="94">
        <f>D165*F165</f>
        <v>330</v>
      </c>
      <c r="H165" s="27"/>
    </row>
    <row r="166" spans="1:8" ht="153" customHeight="1" x14ac:dyDescent="0.2">
      <c r="A166" s="25"/>
      <c r="B166" s="7"/>
      <c r="C166" s="51" t="s">
        <v>515</v>
      </c>
      <c r="D166" s="76"/>
      <c r="E166" s="76"/>
      <c r="F166" s="76"/>
      <c r="G166" s="76"/>
      <c r="H166" s="27"/>
    </row>
    <row r="167" spans="1:8" ht="34" x14ac:dyDescent="0.2">
      <c r="A167" s="25"/>
      <c r="B167" s="7">
        <v>2.2000000000000002</v>
      </c>
      <c r="C167" s="45" t="s">
        <v>516</v>
      </c>
      <c r="D167" s="18">
        <f>(4+19)*2</f>
        <v>46</v>
      </c>
      <c r="E167" s="7" t="s">
        <v>27</v>
      </c>
      <c r="F167" s="18">
        <v>7</v>
      </c>
      <c r="G167" s="94">
        <f t="shared" ref="G167" si="32">D167*F167</f>
        <v>322</v>
      </c>
      <c r="H167" s="27"/>
    </row>
    <row r="168" spans="1:8" ht="356" x14ac:dyDescent="0.2">
      <c r="A168" s="25"/>
      <c r="B168" s="7"/>
      <c r="C168" s="44" t="s">
        <v>517</v>
      </c>
      <c r="D168" s="76"/>
      <c r="E168" s="76"/>
      <c r="F168" s="76"/>
      <c r="G168" s="76"/>
      <c r="H168" s="27"/>
    </row>
    <row r="169" spans="1:8" ht="35.5" customHeight="1" x14ac:dyDescent="0.2">
      <c r="A169" s="25"/>
      <c r="B169" s="7">
        <v>3</v>
      </c>
      <c r="C169" s="85" t="s">
        <v>518</v>
      </c>
      <c r="D169" s="18">
        <v>25</v>
      </c>
      <c r="E169" s="7" t="s">
        <v>19</v>
      </c>
      <c r="F169" s="18">
        <v>50</v>
      </c>
      <c r="G169" s="94">
        <f t="shared" ref="G169" si="33">D169*F169</f>
        <v>1250</v>
      </c>
      <c r="H169" s="27"/>
    </row>
    <row r="170" spans="1:8" ht="306" x14ac:dyDescent="0.2">
      <c r="A170" s="25"/>
      <c r="B170" s="7"/>
      <c r="C170" s="84" t="s">
        <v>519</v>
      </c>
      <c r="D170" s="76"/>
      <c r="E170" s="76"/>
      <c r="F170" s="76"/>
      <c r="G170" s="76"/>
      <c r="H170" s="27"/>
    </row>
    <row r="171" spans="1:8" ht="17" x14ac:dyDescent="0.2">
      <c r="A171" s="25"/>
      <c r="B171" s="7">
        <v>3.1</v>
      </c>
      <c r="C171" s="85" t="s">
        <v>520</v>
      </c>
      <c r="D171" s="18">
        <v>3</v>
      </c>
      <c r="E171" s="7" t="s">
        <v>27</v>
      </c>
      <c r="F171" s="18">
        <v>60</v>
      </c>
      <c r="G171" s="94">
        <f t="shared" ref="G171" si="34">D171*F171</f>
        <v>180</v>
      </c>
      <c r="H171" s="27"/>
    </row>
    <row r="172" spans="1:8" ht="304" customHeight="1" x14ac:dyDescent="0.2">
      <c r="A172" s="25"/>
      <c r="B172" s="7"/>
      <c r="C172" s="84" t="s">
        <v>521</v>
      </c>
      <c r="D172" s="76"/>
      <c r="E172" s="76"/>
      <c r="F172" s="76"/>
      <c r="G172" s="76"/>
      <c r="H172" s="27"/>
    </row>
    <row r="173" spans="1:8" ht="17" x14ac:dyDescent="0.2">
      <c r="A173" s="25"/>
      <c r="B173" s="48">
        <v>4</v>
      </c>
      <c r="C173" s="45" t="s">
        <v>501</v>
      </c>
      <c r="D173" s="18">
        <v>4</v>
      </c>
      <c r="E173" s="7" t="s">
        <v>224</v>
      </c>
      <c r="F173" s="13">
        <v>20</v>
      </c>
      <c r="G173" s="94">
        <f t="shared" ref="G173" si="35">D173*F173</f>
        <v>80</v>
      </c>
      <c r="H173" s="27"/>
    </row>
    <row r="174" spans="1:8" ht="161" customHeight="1" x14ac:dyDescent="0.2">
      <c r="A174" s="25"/>
      <c r="B174" s="48"/>
      <c r="C174" s="70" t="s">
        <v>502</v>
      </c>
      <c r="D174" s="76"/>
      <c r="E174" s="76"/>
      <c r="F174" s="76"/>
      <c r="G174" s="76"/>
      <c r="H174" s="27"/>
    </row>
    <row r="175" spans="1:8" x14ac:dyDescent="0.2">
      <c r="A175" s="25"/>
      <c r="B175" s="7"/>
      <c r="C175" s="79"/>
      <c r="D175" s="76"/>
      <c r="E175" s="76"/>
      <c r="F175" s="76"/>
      <c r="G175" s="76"/>
      <c r="H175" s="27"/>
    </row>
    <row r="176" spans="1:8" x14ac:dyDescent="0.2">
      <c r="A176" s="33"/>
      <c r="B176" s="107" t="s">
        <v>132</v>
      </c>
      <c r="C176" s="107"/>
      <c r="D176" s="107"/>
      <c r="E176" s="107"/>
      <c r="F176" s="107"/>
      <c r="G176" s="94">
        <f>SUM(G161:G174)</f>
        <v>6314</v>
      </c>
      <c r="H176" s="34"/>
    </row>
    <row r="177" spans="1:8" x14ac:dyDescent="0.2">
      <c r="A177" s="25"/>
      <c r="B177" s="104"/>
      <c r="C177" s="104"/>
      <c r="D177" s="104"/>
      <c r="E177" s="104"/>
      <c r="F177" s="104"/>
      <c r="G177" s="104"/>
      <c r="H177" s="27"/>
    </row>
    <row r="178" spans="1:8" ht="19" x14ac:dyDescent="0.2">
      <c r="A178" s="25"/>
      <c r="B178" s="131" t="s">
        <v>522</v>
      </c>
      <c r="C178" s="131"/>
      <c r="D178" s="131"/>
      <c r="E178" s="131"/>
      <c r="F178" s="131"/>
      <c r="G178" s="94">
        <f>G44+G98+G176+G155</f>
        <v>128509.59</v>
      </c>
      <c r="H178" s="27"/>
    </row>
    <row r="179" spans="1:8" x14ac:dyDescent="0.2">
      <c r="A179" s="25"/>
      <c r="B179" s="54"/>
      <c r="C179" s="54"/>
      <c r="D179" s="54"/>
      <c r="E179" s="54"/>
      <c r="F179" s="54"/>
      <c r="G179" s="55"/>
      <c r="H179" s="27"/>
    </row>
    <row r="180" spans="1:8" x14ac:dyDescent="0.2">
      <c r="A180" s="25"/>
      <c r="B180" s="5" t="s">
        <v>192</v>
      </c>
      <c r="C180" s="5"/>
      <c r="D180" s="37"/>
      <c r="E180" s="28"/>
      <c r="F180" s="28"/>
      <c r="H180" s="27"/>
    </row>
    <row r="181" spans="1:8" x14ac:dyDescent="0.2">
      <c r="A181" s="25"/>
      <c r="B181" s="28"/>
      <c r="C181" s="28"/>
      <c r="D181" s="15"/>
      <c r="E181" s="28"/>
      <c r="F181" s="28"/>
      <c r="H181" s="27"/>
    </row>
    <row r="182" spans="1:8" x14ac:dyDescent="0.2">
      <c r="A182" s="25"/>
      <c r="B182" s="104" t="s">
        <v>193</v>
      </c>
      <c r="C182" s="104"/>
      <c r="D182" s="102"/>
      <c r="E182" s="102"/>
      <c r="F182" s="102"/>
      <c r="H182" s="27"/>
    </row>
    <row r="183" spans="1:8" x14ac:dyDescent="0.2">
      <c r="A183" s="25"/>
      <c r="B183" s="2"/>
      <c r="C183" s="2"/>
      <c r="D183" s="102"/>
      <c r="E183" s="102"/>
      <c r="F183" s="102"/>
      <c r="H183" s="27"/>
    </row>
    <row r="184" spans="1:8" x14ac:dyDescent="0.2">
      <c r="A184" s="25"/>
      <c r="B184" s="104" t="s">
        <v>194</v>
      </c>
      <c r="C184" s="104"/>
      <c r="D184" s="105" t="s">
        <v>195</v>
      </c>
      <c r="E184" s="105"/>
      <c r="F184" s="105"/>
      <c r="H184" s="27"/>
    </row>
    <row r="185" spans="1:8" x14ac:dyDescent="0.2">
      <c r="A185" s="25"/>
      <c r="B185" s="35"/>
      <c r="C185" s="35"/>
      <c r="D185" s="106"/>
      <c r="E185" s="106"/>
      <c r="F185" s="106"/>
      <c r="H185" s="27"/>
    </row>
    <row r="186" spans="1:8" x14ac:dyDescent="0.2">
      <c r="A186" s="25"/>
      <c r="B186" s="104" t="s">
        <v>196</v>
      </c>
      <c r="C186" s="104"/>
      <c r="D186" s="106"/>
      <c r="E186" s="106"/>
      <c r="F186" s="106"/>
      <c r="H186" s="27"/>
    </row>
    <row r="187" spans="1:8" x14ac:dyDescent="0.2">
      <c r="A187" s="25"/>
      <c r="B187" s="35"/>
      <c r="C187" s="35"/>
      <c r="D187" s="102"/>
      <c r="E187" s="102"/>
      <c r="F187" s="102"/>
      <c r="H187" s="27"/>
    </row>
    <row r="188" spans="1:8" x14ac:dyDescent="0.2">
      <c r="A188" s="25"/>
      <c r="B188" s="103" t="s">
        <v>197</v>
      </c>
      <c r="C188" s="103"/>
      <c r="D188" s="38" t="s">
        <v>198</v>
      </c>
      <c r="E188" s="39"/>
      <c r="F188" s="39"/>
      <c r="H188" s="27"/>
    </row>
    <row r="189" spans="1:8" x14ac:dyDescent="0.2">
      <c r="A189" s="40"/>
      <c r="B189" s="41"/>
      <c r="C189" s="41"/>
      <c r="D189" s="42"/>
      <c r="E189" s="41"/>
      <c r="F189" s="41"/>
      <c r="G189" s="41"/>
      <c r="H189" s="43"/>
    </row>
  </sheetData>
  <mergeCells count="32">
    <mergeCell ref="B156:G156"/>
    <mergeCell ref="B157:G157"/>
    <mergeCell ref="B188:C188"/>
    <mergeCell ref="B158:G158"/>
    <mergeCell ref="B176:F176"/>
    <mergeCell ref="B177:G177"/>
    <mergeCell ref="B178:F178"/>
    <mergeCell ref="B182:C182"/>
    <mergeCell ref="D182:F183"/>
    <mergeCell ref="B184:C184"/>
    <mergeCell ref="D184:F184"/>
    <mergeCell ref="D185:F186"/>
    <mergeCell ref="B186:C186"/>
    <mergeCell ref="D187:F187"/>
    <mergeCell ref="J13:J14"/>
    <mergeCell ref="B44:F44"/>
    <mergeCell ref="B46:G46"/>
    <mergeCell ref="B47:G47"/>
    <mergeCell ref="B98:F98"/>
    <mergeCell ref="B45:G45"/>
    <mergeCell ref="C2:G2"/>
    <mergeCell ref="C3:G3"/>
    <mergeCell ref="C4:G4"/>
    <mergeCell ref="B5:G5"/>
    <mergeCell ref="B7:G7"/>
    <mergeCell ref="B100:G100"/>
    <mergeCell ref="B101:G101"/>
    <mergeCell ref="B155:F155"/>
    <mergeCell ref="B8:G8"/>
    <mergeCell ref="B9:G9"/>
    <mergeCell ref="B10:G10"/>
    <mergeCell ref="B11:G11"/>
  </mergeCells>
  <printOptions horizontalCentered="1"/>
  <pageMargins left="0.59055118110236204" right="0.196850393700787" top="0.74803149606299202" bottom="0.39370078740157499" header="0.118110236220472" footer="0.118110236220472"/>
  <pageSetup paperSize="9" scale="39" fitToHeight="0" orientation="portrait" r:id="rId1"/>
  <headerFooter>
    <oddFooter>&amp;L&amp;F&amp;C&amp;A&amp;RPage &amp;P of &amp;N</oddFooter>
  </headerFooter>
  <rowBreaks count="6" manualBreakCount="6">
    <brk id="52" max="7" man="1"/>
    <brk id="70" max="7" man="1"/>
    <brk id="89" max="7" man="1"/>
    <brk id="109" max="7" man="1"/>
    <brk id="126" max="7" man="1"/>
    <brk id="133"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7CA56-09B5-4640-A201-C2105509B9AB}">
  <sheetPr>
    <tabColor rgb="FFFFFF00"/>
  </sheetPr>
  <dimension ref="A1:H6"/>
  <sheetViews>
    <sheetView workbookViewId="0">
      <selection activeCell="G4" sqref="G4"/>
    </sheetView>
  </sheetViews>
  <sheetFormatPr baseColWidth="10" defaultColWidth="11.5" defaultRowHeight="15" x14ac:dyDescent="0.2"/>
  <cols>
    <col min="2" max="2" width="40.5" customWidth="1"/>
    <col min="3" max="3" width="16.5" customWidth="1"/>
    <col min="4" max="4" width="17.1640625" customWidth="1"/>
    <col min="5" max="6" width="14.1640625" customWidth="1"/>
    <col min="8" max="8" width="16.83203125" customWidth="1"/>
  </cols>
  <sheetData>
    <row r="1" spans="1:8" x14ac:dyDescent="0.2">
      <c r="A1" s="58"/>
      <c r="B1" s="59"/>
      <c r="C1" s="60" t="s">
        <v>523</v>
      </c>
      <c r="D1" s="60" t="s">
        <v>524</v>
      </c>
      <c r="E1" s="60" t="s">
        <v>525</v>
      </c>
      <c r="F1" s="60" t="s">
        <v>526</v>
      </c>
      <c r="G1" s="60" t="s">
        <v>527</v>
      </c>
      <c r="H1" s="64" t="s">
        <v>528</v>
      </c>
    </row>
    <row r="2" spans="1:8" x14ac:dyDescent="0.2">
      <c r="A2" s="63" t="s">
        <v>529</v>
      </c>
      <c r="B2" s="57" t="s">
        <v>530</v>
      </c>
      <c r="C2" s="56">
        <f>'A1 D&amp;D&amp;R'!G168</f>
        <v>1500</v>
      </c>
      <c r="D2" s="56">
        <f>'A1 D&amp;D&amp;R'!G54</f>
        <v>17153.5</v>
      </c>
      <c r="E2" s="56">
        <f>'A1 D&amp;D&amp;R'!G91</f>
        <v>19273.7</v>
      </c>
      <c r="F2" s="56">
        <f>'A1 D&amp;D&amp;R'!G113</f>
        <v>9030.25</v>
      </c>
      <c r="G2" s="56">
        <f>'A1 D&amp;D&amp;R'!G156</f>
        <v>8374.15</v>
      </c>
      <c r="H2" s="72">
        <f>SUM(C2:G2)</f>
        <v>55331.6</v>
      </c>
    </row>
    <row r="3" spans="1:8" x14ac:dyDescent="0.2">
      <c r="A3" s="63" t="s">
        <v>531</v>
      </c>
      <c r="B3" s="57" t="s">
        <v>532</v>
      </c>
      <c r="C3" s="57"/>
      <c r="D3" s="56">
        <f>'A2 Partitions '!G52</f>
        <v>33376.850000000006</v>
      </c>
      <c r="E3" s="56">
        <f>'A2 Partitions '!G131</f>
        <v>109577.55</v>
      </c>
      <c r="F3" s="56">
        <f>'A2 Partitions '!G182</f>
        <v>52621.25</v>
      </c>
      <c r="G3" s="56">
        <f>'A2 Partitions '!G205</f>
        <v>17540.599999999999</v>
      </c>
      <c r="H3" s="72">
        <f>SUM(D3:G3)</f>
        <v>213116.25000000003</v>
      </c>
    </row>
    <row r="4" spans="1:8" x14ac:dyDescent="0.2">
      <c r="A4" s="63" t="s">
        <v>533</v>
      </c>
      <c r="B4" s="57" t="s">
        <v>534</v>
      </c>
      <c r="C4" s="57"/>
      <c r="D4" s="56">
        <f>'A3 Finishes '!G44</f>
        <v>14160.95</v>
      </c>
      <c r="E4" s="56">
        <f>'A3 Finishes '!G98</f>
        <v>48999.78</v>
      </c>
      <c r="F4" s="56">
        <f>'A3 Finishes '!G155</f>
        <v>59034.86</v>
      </c>
      <c r="G4" s="56">
        <f>'A3 Finishes '!G176</f>
        <v>6314</v>
      </c>
      <c r="H4" s="72">
        <f>SUM(D4:G4)</f>
        <v>128509.59</v>
      </c>
    </row>
    <row r="5" spans="1:8" x14ac:dyDescent="0.2">
      <c r="A5" s="63"/>
      <c r="B5" s="57" t="s">
        <v>535</v>
      </c>
      <c r="C5" s="72">
        <f>SUM(C2:C4)</f>
        <v>1500</v>
      </c>
      <c r="D5" s="72">
        <f>SUM(D2:D4)</f>
        <v>64691.3</v>
      </c>
      <c r="E5" s="72">
        <f>SUM(E2:E4)</f>
        <v>177851.03</v>
      </c>
      <c r="F5" s="72">
        <f>SUM(F2:F4)</f>
        <v>120686.36</v>
      </c>
      <c r="G5" s="72">
        <f>SUM(G2:G4)</f>
        <v>32228.75</v>
      </c>
      <c r="H5" s="65"/>
    </row>
    <row r="6" spans="1:8" ht="17" thickBot="1" x14ac:dyDescent="0.25">
      <c r="A6" s="62" t="s">
        <v>536</v>
      </c>
      <c r="B6" s="61" t="s">
        <v>537</v>
      </c>
      <c r="C6" s="88"/>
      <c r="D6" s="132">
        <f>SUM(C5:G5)</f>
        <v>396957.44</v>
      </c>
      <c r="E6" s="132"/>
      <c r="F6" s="132"/>
      <c r="G6" s="132"/>
      <c r="H6" s="133"/>
    </row>
  </sheetData>
  <mergeCells count="1">
    <mergeCell ref="D6:H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05D36E63DE3E94E989119DC066D296D" ma:contentTypeVersion="15" ma:contentTypeDescription="Create a new document." ma:contentTypeScope="" ma:versionID="4ec27796ca0c7e3a38631d15069be006">
  <xsd:schema xmlns:xsd="http://www.w3.org/2001/XMLSchema" xmlns:xs="http://www.w3.org/2001/XMLSchema" xmlns:p="http://schemas.microsoft.com/office/2006/metadata/properties" xmlns:ns2="674a5171-b1ba-44b7-88d6-6d2d3bcd0ed7" xmlns:ns3="1fd3f36d-9882-4c81-8945-fcf8157ac7de" targetNamespace="http://schemas.microsoft.com/office/2006/metadata/properties" ma:root="true" ma:fieldsID="2577a70c8c9ea76a21ea1ffa106de5b4" ns2:_="" ns3:_="">
    <xsd:import namespace="674a5171-b1ba-44b7-88d6-6d2d3bcd0ed7"/>
    <xsd:import namespace="1fd3f36d-9882-4c81-8945-fcf8157ac7d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a5171-b1ba-44b7-88d6-6d2d3bcd0e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d3f36d-9882-4c81-8945-fcf8157ac7d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935e69b9-b680-4a36-b224-116837a1700f}" ma:internalName="TaxCatchAll" ma:showField="CatchAllData" ma:web="1fd3f36d-9882-4c81-8945-fcf8157ac7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fd3f36d-9882-4c81-8945-fcf8157ac7de" xsi:nil="true"/>
    <lcf76f155ced4ddcb4097134ff3c332f xmlns="674a5171-b1ba-44b7-88d6-6d2d3bcd0ed7">
      <Terms xmlns="http://schemas.microsoft.com/office/infopath/2007/PartnerControls"/>
    </lcf76f155ced4ddcb4097134ff3c332f>
    <SharedWithUsers xmlns="1fd3f36d-9882-4c81-8945-fcf8157ac7de">
      <UserInfo>
        <DisplayName>RIVERA Luis Felipe</DisplayName>
        <AccountId>117</AccountId>
        <AccountType/>
      </UserInfo>
    </SharedWithUsers>
  </documentManagement>
</p:properties>
</file>

<file path=customXml/itemProps1.xml><?xml version="1.0" encoding="utf-8"?>
<ds:datastoreItem xmlns:ds="http://schemas.openxmlformats.org/officeDocument/2006/customXml" ds:itemID="{FAC72DB3-CEA2-438C-9C62-D5F6EE20EC00}">
  <ds:schemaRefs>
    <ds:schemaRef ds:uri="http://schemas.microsoft.com/sharepoint/v3/contenttype/forms"/>
  </ds:schemaRefs>
</ds:datastoreItem>
</file>

<file path=customXml/itemProps2.xml><?xml version="1.0" encoding="utf-8"?>
<ds:datastoreItem xmlns:ds="http://schemas.openxmlformats.org/officeDocument/2006/customXml" ds:itemID="{70266166-16AC-48B2-99D6-F5D74FA23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a5171-b1ba-44b7-88d6-6d2d3bcd0ed7"/>
    <ds:schemaRef ds:uri="1fd3f36d-9882-4c81-8945-fcf8157ac7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C1D0CE-6D11-49C2-A0EC-A06DF5F95A92}">
  <ds:schemaRefs>
    <ds:schemaRef ds:uri="http://www.w3.org/XML/1998/namespace"/>
    <ds:schemaRef ds:uri="http://schemas.microsoft.com/office/infopath/2007/PartnerControls"/>
    <ds:schemaRef ds:uri="http://purl.org/dc/dcmitype/"/>
    <ds:schemaRef ds:uri="http://schemas.openxmlformats.org/package/2006/metadata/core-properties"/>
    <ds:schemaRef ds:uri="http://purl.org/dc/terms/"/>
    <ds:schemaRef ds:uri="http://purl.org/dc/elements/1.1/"/>
    <ds:schemaRef ds:uri="http://schemas.microsoft.com/office/2006/documentManagement/types"/>
    <ds:schemaRef ds:uri="1fd3f36d-9882-4c81-8945-fcf8157ac7de"/>
    <ds:schemaRef ds:uri="674a5171-b1ba-44b7-88d6-6d2d3bcd0ed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A1 D&amp;D&amp;R</vt:lpstr>
      <vt:lpstr>A2 Partitions </vt:lpstr>
      <vt:lpstr>A3 Finishes </vt:lpstr>
      <vt:lpstr>A. Summary Architectural </vt:lpstr>
      <vt:lpstr>'A1 D&amp;D&amp;R'!Print_Area</vt:lpstr>
      <vt:lpstr>'A2 Partitions '!Print_Area</vt:lpstr>
      <vt:lpstr>'A3 Finishes '!Print_Area</vt:lpstr>
      <vt:lpstr>'A1 D&amp;D&amp;R'!Print_Titles</vt:lpstr>
      <vt:lpstr>'A2 Partitions '!Print_Titles</vt:lpstr>
      <vt:lpstr>'A3 Finishes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RIVERA Luis Felipe</cp:lastModifiedBy>
  <cp:revision/>
  <dcterms:created xsi:type="dcterms:W3CDTF">2016-08-11T06:55:48Z</dcterms:created>
  <dcterms:modified xsi:type="dcterms:W3CDTF">2024-04-22T17:53:35Z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2023-10-27T03:39:41Z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fe1aa43f-28a7-45d6-bfac-3d0750382699</vt:lpwstr>
  </property>
  <property fmtid="{D5CDD505-2E9C-101B-9397-08002B2CF9AE}" pid="8" name="MSIP_Label_2059aa38-f392-4105-be92-628035578272_ContentBits">
    <vt:lpwstr>0</vt:lpwstr>
  </property>
  <property fmtid="{D5CDD505-2E9C-101B-9397-08002B2CF9AE}" pid="9" name="ContentTypeId">
    <vt:lpwstr>0x010100005D36E63DE3E94E989119DC066D296D</vt:lpwstr>
  </property>
  <property fmtid="{D5CDD505-2E9C-101B-9397-08002B2CF9AE}" pid="10" name="MediaServiceImageTags">
    <vt:lpwstr/>
  </property>
</Properties>
</file>